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hidePivotFieldList="1" autoCompressPictures="0"/>
  <mc:AlternateContent xmlns:mc="http://schemas.openxmlformats.org/markup-compatibility/2006">
    <mc:Choice Requires="x15">
      <x15ac:absPath xmlns:x15ac="http://schemas.microsoft.com/office/spreadsheetml/2010/11/ac" url="/Users/jeffreyseminoff/Documents/CCB/ACTIVE MANUSCRIPTS/1646_Iverson et al. (original submission)/"/>
    </mc:Choice>
  </mc:AlternateContent>
  <xr:revisionPtr revIDLastSave="0" documentId="13_ncr:1_{D4A903E1-505A-5E47-B4F1-8496EA19DAA9}" xr6:coauthVersionLast="47" xr6:coauthVersionMax="47" xr10:uidLastSave="{00000000-0000-0000-0000-000000000000}"/>
  <bookViews>
    <workbookView xWindow="58940" yWindow="31800" windowWidth="24620" windowHeight="14080" tabRatio="811" xr2:uid="{00000000-000D-0000-FFFF-FFFF00000000}"/>
  </bookViews>
  <sheets>
    <sheet name="COVER SHEET &amp; ABSTRACT" sheetId="34" r:id="rId1"/>
    <sheet name="Combined Data" sheetId="5" r:id="rId2"/>
    <sheet name="Iverson_longevity" sheetId="32" r:id="rId3"/>
    <sheet name="Species_Habitat" sheetId="11" r:id="rId4"/>
    <sheet name="Species_Diet" sheetId="10" r:id="rId5"/>
    <sheet name="BM-CL regressions" sheetId="33" r:id="rId6"/>
  </sheets>
  <definedNames>
    <definedName name="_xlnm._FilterDatabase" localSheetId="1" hidden="1">'Combined Data'!$A$1:$BF$2531</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35" i="5" l="1"/>
  <c r="H149" i="5"/>
  <c r="H148" i="5"/>
  <c r="H147" i="5"/>
  <c r="H146" i="5"/>
  <c r="H541" i="5"/>
  <c r="H1689" i="5"/>
  <c r="H484" i="5"/>
  <c r="H483" i="5"/>
  <c r="H1484" i="5"/>
  <c r="H1491" i="5"/>
  <c r="H1488" i="5"/>
  <c r="H1490" i="5"/>
  <c r="H822" i="5"/>
  <c r="H558" i="5"/>
  <c r="H1994" i="5"/>
  <c r="H624" i="5"/>
  <c r="H763" i="5"/>
  <c r="H2164" i="5"/>
  <c r="H813" i="5"/>
  <c r="H846" i="5"/>
  <c r="H1049" i="5"/>
  <c r="H1501" i="5"/>
  <c r="H1605" i="5"/>
  <c r="H1289" i="5"/>
  <c r="H1285" i="5"/>
  <c r="H1269" i="5"/>
  <c r="H1214" i="5"/>
  <c r="H1055" i="5"/>
  <c r="H1054" i="5"/>
  <c r="H1056" i="5"/>
  <c r="H1007" i="5"/>
  <c r="H2266" i="5"/>
  <c r="H2141" i="5"/>
  <c r="H2134" i="5"/>
  <c r="H2110" i="5"/>
  <c r="H2104" i="5"/>
  <c r="H1989" i="5"/>
  <c r="H2454" i="5"/>
  <c r="H2070" i="5"/>
  <c r="H1291" i="5"/>
  <c r="H2186" i="5"/>
  <c r="H2032" i="5"/>
  <c r="H767" i="5"/>
  <c r="H1727" i="5"/>
  <c r="H1743" i="5"/>
  <c r="I495" i="5"/>
  <c r="H495" i="5"/>
  <c r="H475" i="5"/>
  <c r="H1899" i="5"/>
  <c r="H1900" i="5"/>
  <c r="H217" i="5"/>
  <c r="H155" i="5"/>
  <c r="H88" i="5"/>
  <c r="R1636" i="5"/>
  <c r="S1636" i="5" s="1"/>
  <c r="H1636" i="5"/>
  <c r="R2368" i="5"/>
  <c r="H1580" i="5"/>
  <c r="H1902" i="5"/>
  <c r="L2335" i="5"/>
  <c r="H2335" i="5"/>
  <c r="U68" i="5"/>
  <c r="U67" i="5"/>
  <c r="U2432" i="5"/>
  <c r="U2401" i="5"/>
  <c r="U2394" i="5"/>
  <c r="U2387" i="5"/>
  <c r="U2374" i="5"/>
  <c r="U2369" i="5"/>
  <c r="U2365" i="5"/>
  <c r="U2364" i="5"/>
  <c r="U2354" i="5"/>
  <c r="U2350" i="5"/>
  <c r="U2329" i="5"/>
  <c r="U2328" i="5"/>
  <c r="U2327" i="5"/>
  <c r="U2326" i="5"/>
  <c r="U2324" i="5"/>
  <c r="U2313" i="5"/>
  <c r="U2300" i="5"/>
  <c r="U2299" i="5"/>
  <c r="U2297" i="5"/>
  <c r="U2293" i="5"/>
  <c r="U2292" i="5"/>
  <c r="U2286" i="5"/>
  <c r="U2285" i="5"/>
  <c r="U2283" i="5"/>
  <c r="U2282" i="5"/>
  <c r="U2281" i="5"/>
  <c r="U2278" i="5"/>
  <c r="U2272" i="5"/>
  <c r="U2271" i="5"/>
  <c r="U2270" i="5"/>
  <c r="U2267" i="5"/>
  <c r="U2260" i="5"/>
  <c r="U2258" i="5"/>
  <c r="U2254" i="5"/>
  <c r="U2250" i="5"/>
  <c r="U2246" i="5"/>
  <c r="U2244" i="5"/>
  <c r="U2239" i="5"/>
  <c r="U2236" i="5"/>
  <c r="U2224" i="5"/>
  <c r="U2212" i="5"/>
  <c r="U2195" i="5"/>
  <c r="U2194" i="5"/>
  <c r="U2189" i="5"/>
  <c r="U2183" i="5"/>
  <c r="U2174" i="5"/>
  <c r="U2168" i="5"/>
  <c r="U2163" i="5"/>
  <c r="U2158" i="5"/>
  <c r="U2155" i="5"/>
  <c r="U2154" i="5"/>
  <c r="U2140" i="5"/>
  <c r="U2115" i="5"/>
  <c r="U2112" i="5"/>
  <c r="U2107" i="5"/>
  <c r="U2106" i="5"/>
  <c r="U2096" i="5"/>
  <c r="U2095" i="5"/>
  <c r="U2090" i="5"/>
  <c r="U2085" i="5"/>
  <c r="U2083" i="5"/>
  <c r="U2081" i="5"/>
  <c r="U2067" i="5"/>
  <c r="U2066" i="5"/>
  <c r="U2065" i="5"/>
  <c r="U2064" i="5"/>
  <c r="U2062" i="5"/>
  <c r="U2061" i="5"/>
  <c r="U2054" i="5"/>
  <c r="U2052" i="5"/>
  <c r="U2051" i="5"/>
  <c r="U2049" i="5"/>
  <c r="U2047" i="5"/>
  <c r="U2042" i="5"/>
  <c r="U2041" i="5"/>
  <c r="U2040" i="5"/>
  <c r="U2034" i="5"/>
  <c r="U2033" i="5"/>
  <c r="U2031" i="5"/>
  <c r="U2030" i="5"/>
  <c r="U2027" i="5"/>
  <c r="U2024" i="5"/>
  <c r="U2019" i="5"/>
  <c r="U2018" i="5"/>
  <c r="U2017" i="5"/>
  <c r="U2012" i="5"/>
  <c r="U2006" i="5"/>
  <c r="U2000" i="5"/>
  <c r="U1998" i="5"/>
  <c r="U1976" i="5"/>
  <c r="U1975" i="5"/>
  <c r="U1974" i="5"/>
  <c r="U1969" i="5"/>
  <c r="U1951" i="5"/>
  <c r="U1950" i="5"/>
  <c r="U1946" i="5"/>
  <c r="U1930" i="5"/>
  <c r="U1924" i="5"/>
  <c r="U1914" i="5"/>
  <c r="U1911" i="5"/>
  <c r="U1910" i="5"/>
  <c r="U1909" i="5"/>
  <c r="U1903" i="5"/>
  <c r="U1891" i="5"/>
  <c r="U1890" i="5"/>
  <c r="U1889" i="5"/>
  <c r="U1888" i="5"/>
  <c r="U1887" i="5"/>
  <c r="U1886" i="5"/>
  <c r="U1871" i="5"/>
  <c r="U1867" i="5"/>
  <c r="U1866" i="5"/>
  <c r="U1863" i="5"/>
  <c r="U1861" i="5"/>
  <c r="U1829" i="5"/>
  <c r="U1815" i="5"/>
  <c r="U1793" i="5"/>
  <c r="U1758" i="5"/>
  <c r="U1757" i="5"/>
  <c r="U1756" i="5"/>
  <c r="U1755" i="5"/>
  <c r="U1749" i="5"/>
  <c r="U1740" i="5"/>
  <c r="U1726" i="5"/>
  <c r="U1724" i="5"/>
  <c r="U1721" i="5"/>
  <c r="U1717" i="5"/>
  <c r="U1707" i="5"/>
  <c r="U1701" i="5"/>
  <c r="U1690" i="5"/>
  <c r="U1686" i="5"/>
  <c r="U1679" i="5"/>
  <c r="U1678" i="5"/>
  <c r="U1675" i="5"/>
  <c r="U1672" i="5"/>
  <c r="U1652" i="5"/>
  <c r="U1651" i="5"/>
  <c r="U1650" i="5"/>
  <c r="U1639" i="5"/>
  <c r="U1637" i="5"/>
  <c r="U1635" i="5"/>
  <c r="U1633" i="5"/>
  <c r="U1628" i="5"/>
  <c r="U1622" i="5"/>
  <c r="U1621" i="5"/>
  <c r="U1620" i="5"/>
  <c r="U1619" i="5"/>
  <c r="U1618" i="5"/>
  <c r="U1616" i="5"/>
  <c r="U1614" i="5"/>
  <c r="U1607" i="5"/>
  <c r="U1604" i="5"/>
  <c r="U1603" i="5"/>
  <c r="U1584" i="5"/>
  <c r="U1583" i="5"/>
  <c r="U1581" i="5"/>
  <c r="U1575" i="5"/>
  <c r="U1574" i="5"/>
  <c r="U1573" i="5"/>
  <c r="U1572" i="5"/>
  <c r="U1571" i="5"/>
  <c r="U1570" i="5"/>
  <c r="U1569" i="5"/>
  <c r="U1568" i="5"/>
  <c r="U1567" i="5"/>
  <c r="U1566" i="5"/>
  <c r="U1562" i="5"/>
  <c r="U1553" i="5"/>
  <c r="U1552" i="5"/>
  <c r="U1551" i="5"/>
  <c r="U1546" i="5"/>
  <c r="U1541" i="5"/>
  <c r="U1536" i="5"/>
  <c r="U1534" i="5"/>
  <c r="U1502" i="5"/>
  <c r="U1499" i="5"/>
  <c r="U1496" i="5"/>
  <c r="U1495" i="5"/>
  <c r="U1493" i="5"/>
  <c r="U1492" i="5"/>
  <c r="U1489" i="5"/>
  <c r="U1479" i="5"/>
  <c r="U1473" i="5"/>
  <c r="U1470" i="5"/>
  <c r="U1465" i="5"/>
  <c r="U1463" i="5"/>
  <c r="U1462" i="5"/>
  <c r="U1455" i="5"/>
  <c r="U1451" i="5"/>
  <c r="U1446" i="5"/>
  <c r="U1445" i="5"/>
  <c r="U1441" i="5"/>
  <c r="U1431" i="5"/>
  <c r="U1429" i="5"/>
  <c r="U1425" i="5"/>
  <c r="U1422" i="5"/>
  <c r="U1420" i="5"/>
  <c r="U1406" i="5"/>
  <c r="U1384" i="5"/>
  <c r="U1370" i="5"/>
  <c r="U1344" i="5"/>
  <c r="U1332" i="5"/>
  <c r="U1296" i="5"/>
  <c r="U1295" i="5"/>
  <c r="U1287" i="5"/>
  <c r="U1284" i="5"/>
  <c r="U1280" i="5"/>
  <c r="U1279" i="5"/>
  <c r="U1274" i="5"/>
  <c r="U1267" i="5"/>
  <c r="U1266" i="5"/>
  <c r="U1263" i="5"/>
  <c r="U1256" i="5"/>
  <c r="U1244" i="5"/>
  <c r="U1241" i="5"/>
  <c r="U1229" i="5"/>
  <c r="U1227" i="5"/>
  <c r="U1217" i="5"/>
  <c r="U1196" i="5"/>
  <c r="U1186" i="5"/>
  <c r="U1183" i="5"/>
  <c r="U1182" i="5"/>
  <c r="U1175" i="5"/>
  <c r="U1173" i="5"/>
  <c r="U1168" i="5"/>
  <c r="U1165" i="5"/>
  <c r="U1163" i="5"/>
  <c r="U1159" i="5"/>
  <c r="U1148" i="5"/>
  <c r="U1144" i="5"/>
  <c r="U1143" i="5"/>
  <c r="U1142" i="5"/>
  <c r="U1141" i="5"/>
  <c r="U1133" i="5"/>
  <c r="U1122" i="5"/>
  <c r="U1119" i="5"/>
  <c r="U1118" i="5"/>
  <c r="U1117" i="5"/>
  <c r="U1115" i="5"/>
  <c r="U1113" i="5"/>
  <c r="U1112" i="5"/>
  <c r="U1111" i="5"/>
  <c r="U1110" i="5"/>
  <c r="U1106" i="5"/>
  <c r="U1104" i="5"/>
  <c r="U1099" i="5"/>
  <c r="U1096" i="5"/>
  <c r="U1095" i="5"/>
  <c r="U1089" i="5"/>
  <c r="U1080" i="5"/>
  <c r="U1079" i="5"/>
  <c r="U1078" i="5"/>
  <c r="U1068" i="5"/>
  <c r="U1067" i="5"/>
  <c r="U1065" i="5"/>
  <c r="U1060" i="5"/>
  <c r="U1059" i="5"/>
  <c r="U1047" i="5"/>
  <c r="U1040" i="5"/>
  <c r="U1031" i="5"/>
  <c r="U1015" i="5"/>
  <c r="U1006" i="5"/>
  <c r="U1003" i="5"/>
  <c r="U994" i="5"/>
  <c r="U993" i="5"/>
  <c r="U992" i="5"/>
  <c r="U986" i="5"/>
  <c r="U981" i="5"/>
  <c r="U980" i="5"/>
  <c r="U969" i="5"/>
  <c r="U964" i="5"/>
  <c r="U963" i="5"/>
  <c r="U962" i="5"/>
  <c r="U961" i="5"/>
  <c r="U959" i="5"/>
  <c r="U958" i="5"/>
  <c r="U956" i="5"/>
  <c r="U953" i="5"/>
  <c r="U952" i="5"/>
  <c r="U950" i="5"/>
  <c r="U932" i="5"/>
  <c r="U924" i="5"/>
  <c r="U909" i="5"/>
  <c r="U908" i="5"/>
  <c r="U899" i="5"/>
  <c r="U891" i="5"/>
  <c r="U889" i="5"/>
  <c r="U886" i="5"/>
  <c r="U882" i="5"/>
  <c r="U880" i="5"/>
  <c r="U879" i="5"/>
  <c r="U866" i="5"/>
  <c r="U865" i="5"/>
  <c r="U864" i="5"/>
  <c r="U850" i="5"/>
  <c r="U839" i="5"/>
  <c r="U838" i="5"/>
  <c r="U834" i="5"/>
  <c r="U830" i="5"/>
  <c r="U826" i="5"/>
  <c r="U823" i="5"/>
  <c r="U821" i="5"/>
  <c r="U819" i="5"/>
  <c r="U817" i="5"/>
  <c r="U807" i="5"/>
  <c r="U801" i="5"/>
  <c r="U790" i="5"/>
  <c r="U787" i="5"/>
  <c r="U770" i="5"/>
  <c r="U744" i="5"/>
  <c r="U739" i="5"/>
  <c r="U735" i="5"/>
  <c r="U733" i="5"/>
  <c r="U729" i="5"/>
  <c r="U728" i="5"/>
  <c r="U727" i="5"/>
  <c r="U716" i="5"/>
  <c r="U714" i="5"/>
  <c r="U704" i="5"/>
  <c r="U703" i="5"/>
  <c r="U702" i="5"/>
  <c r="U700" i="5"/>
  <c r="U699" i="5"/>
  <c r="U677" i="5"/>
  <c r="U674" i="5"/>
  <c r="U671" i="5"/>
  <c r="U667" i="5"/>
  <c r="U666" i="5"/>
  <c r="U662" i="5"/>
  <c r="U660" i="5"/>
  <c r="U658" i="5"/>
  <c r="U655" i="5"/>
  <c r="U652" i="5"/>
  <c r="U651" i="5"/>
  <c r="U640" i="5"/>
  <c r="U638" i="5"/>
  <c r="U630" i="5"/>
  <c r="U628" i="5"/>
  <c r="U627" i="5"/>
  <c r="U626" i="5"/>
  <c r="U623" i="5"/>
  <c r="U622" i="5"/>
  <c r="U612" i="5"/>
  <c r="U604" i="5"/>
  <c r="U603" i="5"/>
  <c r="U591" i="5"/>
  <c r="U584" i="5"/>
  <c r="U581" i="5"/>
  <c r="U574" i="5"/>
  <c r="U566" i="5"/>
  <c r="U560" i="5"/>
  <c r="U548" i="5"/>
  <c r="U547" i="5"/>
  <c r="U528" i="5"/>
  <c r="U525" i="5"/>
  <c r="U523" i="5"/>
  <c r="U522" i="5"/>
  <c r="U521" i="5"/>
  <c r="U520" i="5"/>
  <c r="U517" i="5"/>
  <c r="U514" i="5"/>
  <c r="U508" i="5"/>
  <c r="U504" i="5"/>
  <c r="U490" i="5"/>
  <c r="U487" i="5"/>
  <c r="U479" i="5"/>
  <c r="U478" i="5"/>
  <c r="U477" i="5"/>
  <c r="U474" i="5"/>
  <c r="U466" i="5"/>
  <c r="U465" i="5"/>
  <c r="U463" i="5"/>
  <c r="U461" i="5"/>
  <c r="U460" i="5"/>
  <c r="U459" i="5"/>
  <c r="U451" i="5"/>
  <c r="U449" i="5"/>
  <c r="U441" i="5"/>
  <c r="U439" i="5"/>
  <c r="U438" i="5"/>
  <c r="U437" i="5"/>
  <c r="U434" i="5"/>
  <c r="U433" i="5"/>
  <c r="U432" i="5"/>
  <c r="U428" i="5"/>
  <c r="U427" i="5"/>
  <c r="U422" i="5"/>
  <c r="U416" i="5"/>
  <c r="U415" i="5"/>
  <c r="U414" i="5"/>
  <c r="U413" i="5"/>
  <c r="U409" i="5"/>
  <c r="U403" i="5"/>
  <c r="U402" i="5"/>
  <c r="U391" i="5"/>
  <c r="U388" i="5"/>
  <c r="U387" i="5"/>
  <c r="U377" i="5"/>
  <c r="U370" i="5"/>
  <c r="U368" i="5"/>
  <c r="U367" i="5"/>
  <c r="U363" i="5"/>
  <c r="U361" i="5"/>
  <c r="U357" i="5"/>
  <c r="U354" i="5"/>
  <c r="U353" i="5"/>
  <c r="U351" i="5"/>
  <c r="U346" i="5"/>
  <c r="U345" i="5"/>
  <c r="U342" i="5"/>
  <c r="U341" i="5"/>
  <c r="U338" i="5"/>
  <c r="U336" i="5"/>
  <c r="U335" i="5"/>
  <c r="U332" i="5"/>
  <c r="U331" i="5"/>
  <c r="U326" i="5"/>
  <c r="U325" i="5"/>
  <c r="U324" i="5"/>
  <c r="U321" i="5"/>
  <c r="U320" i="5"/>
  <c r="U319" i="5"/>
  <c r="U318" i="5"/>
  <c r="U317" i="5"/>
  <c r="U307" i="5"/>
  <c r="U306" i="5"/>
  <c r="U303" i="5"/>
  <c r="U301" i="5"/>
  <c r="U300" i="5"/>
  <c r="U299" i="5"/>
  <c r="U292" i="5"/>
  <c r="U280" i="5"/>
  <c r="U275" i="5"/>
  <c r="U270" i="5"/>
  <c r="U266" i="5"/>
  <c r="U260" i="5"/>
  <c r="U254" i="5"/>
  <c r="U244" i="5"/>
  <c r="U234" i="5"/>
  <c r="U233" i="5"/>
  <c r="U225" i="5"/>
  <c r="U213" i="5"/>
  <c r="U201" i="5"/>
  <c r="U195" i="5"/>
  <c r="U187" i="5"/>
  <c r="U182" i="5"/>
  <c r="U162" i="5"/>
  <c r="U161" i="5"/>
  <c r="U160" i="5"/>
  <c r="U154" i="5"/>
  <c r="U151" i="5"/>
  <c r="U141" i="5"/>
  <c r="U139" i="5"/>
  <c r="U124" i="5"/>
  <c r="U114" i="5"/>
  <c r="U113" i="5"/>
  <c r="U111" i="5"/>
  <c r="U108" i="5"/>
  <c r="U107" i="5"/>
  <c r="U105" i="5"/>
  <c r="U102" i="5"/>
  <c r="U101" i="5"/>
  <c r="U98" i="5"/>
  <c r="U97" i="5"/>
  <c r="U95" i="5"/>
  <c r="U91" i="5"/>
  <c r="U90" i="5"/>
  <c r="U89" i="5"/>
  <c r="U82" i="5"/>
  <c r="U77" i="5"/>
  <c r="U73" i="5"/>
  <c r="U71" i="5"/>
  <c r="U70" i="5"/>
  <c r="U65" i="5"/>
  <c r="U61" i="5"/>
  <c r="U51" i="5"/>
  <c r="U40" i="5"/>
  <c r="U6" i="5"/>
  <c r="U5" i="5"/>
  <c r="U3" i="5"/>
  <c r="U2" i="5"/>
  <c r="R263" i="5"/>
  <c r="R241" i="5"/>
  <c r="R1778" i="5"/>
  <c r="R1427" i="5"/>
  <c r="S1427" i="5"/>
  <c r="H1767" i="5"/>
  <c r="H450" i="5"/>
  <c r="H2109" i="5"/>
  <c r="S1224" i="5"/>
  <c r="H1224" i="5"/>
  <c r="S2455" i="5"/>
  <c r="H2455" i="5"/>
  <c r="H209" i="5"/>
  <c r="H2438" i="5"/>
  <c r="H2435" i="5"/>
  <c r="H2434" i="5"/>
  <c r="H2378" i="5"/>
  <c r="H2377" i="5"/>
  <c r="H2238" i="5"/>
  <c r="H2237" i="5"/>
  <c r="H1915" i="5"/>
  <c r="H1914" i="5"/>
  <c r="H1913" i="5"/>
  <c r="H1775" i="5"/>
  <c r="H1774" i="5"/>
  <c r="H1366" i="5"/>
  <c r="H1365" i="5"/>
  <c r="H1031" i="5"/>
  <c r="H1030" i="5"/>
  <c r="H952" i="5"/>
  <c r="H951" i="5"/>
  <c r="H505" i="5"/>
  <c r="H1429" i="5"/>
  <c r="H1557" i="5"/>
  <c r="H1149" i="5"/>
  <c r="H1503" i="5"/>
  <c r="H404" i="5"/>
  <c r="H1673" i="5"/>
  <c r="H1697" i="5"/>
  <c r="H2309" i="5"/>
  <c r="H2297" i="5"/>
  <c r="H2175" i="5"/>
  <c r="H1179" i="5"/>
  <c r="H70" i="5"/>
  <c r="H471" i="5"/>
  <c r="H525" i="5"/>
  <c r="H415" i="5"/>
  <c r="S1865" i="5"/>
  <c r="V2052" i="5"/>
  <c r="V1969" i="5"/>
  <c r="V2271" i="5"/>
  <c r="V2270" i="5"/>
  <c r="H603" i="5"/>
  <c r="H604" i="5"/>
  <c r="S515" i="5"/>
  <c r="R1973" i="5"/>
  <c r="R2139" i="5"/>
  <c r="L1702" i="5"/>
  <c r="H1702" i="5"/>
  <c r="L662" i="5"/>
  <c r="H662" i="5"/>
  <c r="R1554" i="5"/>
  <c r="R1145" i="5"/>
  <c r="R1302" i="5"/>
  <c r="R2308" i="5"/>
  <c r="R2254" i="5"/>
  <c r="R741" i="5"/>
  <c r="R2123" i="5"/>
  <c r="R1030" i="5"/>
  <c r="R142" i="5"/>
  <c r="R2446" i="5"/>
  <c r="R1764" i="5"/>
  <c r="R1391" i="5"/>
  <c r="R1832" i="5"/>
  <c r="R1831" i="5"/>
  <c r="R771" i="5"/>
  <c r="R361" i="5"/>
  <c r="R1005" i="5"/>
  <c r="R2135" i="5"/>
  <c r="S2135" i="5" s="1"/>
  <c r="S1518" i="5"/>
  <c r="R1013" i="5"/>
  <c r="S1013" i="5" s="1"/>
  <c r="V331" i="5"/>
  <c r="V98" i="5"/>
  <c r="S1437" i="5"/>
  <c r="S1204" i="5"/>
  <c r="S1169" i="5"/>
  <c r="S1165" i="5"/>
  <c r="V1165" i="5"/>
  <c r="R192" i="5"/>
  <c r="S192" i="5"/>
  <c r="S169" i="5"/>
  <c r="S125" i="5"/>
  <c r="N125" i="5"/>
  <c r="O125" i="5"/>
  <c r="J869" i="5"/>
  <c r="J801" i="5"/>
  <c r="J2180" i="5"/>
  <c r="S2180" i="5" s="1"/>
  <c r="R615" i="5"/>
  <c r="S1345" i="5"/>
  <c r="O414" i="5"/>
  <c r="H2320" i="5"/>
  <c r="S2374" i="5"/>
  <c r="V2374" i="5"/>
  <c r="I920" i="5"/>
  <c r="V1998" i="5"/>
  <c r="V1721" i="5"/>
  <c r="V1619" i="5"/>
  <c r="V1604" i="5"/>
  <c r="V1425" i="5"/>
  <c r="V1287" i="5"/>
  <c r="V1095" i="5"/>
  <c r="V899" i="5"/>
  <c r="R249" i="5"/>
  <c r="S249" i="5" s="1"/>
  <c r="S89" i="5"/>
  <c r="V89" i="5"/>
  <c r="N2077" i="5"/>
  <c r="N2076" i="5"/>
  <c r="N2071" i="5"/>
  <c r="N2068" i="5"/>
  <c r="N2059" i="5"/>
  <c r="P258" i="5"/>
  <c r="R258" i="5" s="1"/>
  <c r="S258" i="5" s="1"/>
  <c r="R2044" i="5"/>
  <c r="R1026" i="5"/>
  <c r="P514" i="5"/>
  <c r="R514" i="5" s="1"/>
  <c r="S514" i="5" s="1"/>
  <c r="V514" i="5" s="1"/>
  <c r="P1433" i="5"/>
  <c r="R1433" i="5"/>
  <c r="S1433" i="5" s="1"/>
  <c r="V1433" i="5" s="1"/>
  <c r="O5" i="5"/>
  <c r="O423" i="5"/>
  <c r="N423" i="5"/>
  <c r="O424" i="5"/>
  <c r="N424" i="5"/>
  <c r="O419" i="5"/>
  <c r="N419" i="5"/>
  <c r="O413" i="5"/>
  <c r="N413" i="5"/>
  <c r="O401" i="5"/>
  <c r="N401" i="5"/>
  <c r="N1121" i="5"/>
  <c r="J2423" i="5"/>
  <c r="J2422" i="5"/>
  <c r="S2422" i="5" s="1"/>
  <c r="J2424" i="5"/>
  <c r="J2173" i="5"/>
  <c r="J2150" i="5"/>
  <c r="J2128" i="5"/>
  <c r="J2131" i="5"/>
  <c r="I2015" i="5"/>
  <c r="J2020" i="5"/>
  <c r="I1991" i="5"/>
  <c r="J1976" i="5"/>
  <c r="I1856" i="5"/>
  <c r="I1853" i="5"/>
  <c r="J1851" i="5"/>
  <c r="J1759" i="5"/>
  <c r="I1761" i="5"/>
  <c r="J1669" i="5"/>
  <c r="J1667" i="5"/>
  <c r="I1604" i="5"/>
  <c r="J1602" i="5"/>
  <c r="J1590" i="5"/>
  <c r="J1588" i="5"/>
  <c r="I1551" i="5"/>
  <c r="I1543" i="5"/>
  <c r="I1540" i="5"/>
  <c r="J1542" i="5"/>
  <c r="I1538" i="5"/>
  <c r="J1537" i="5"/>
  <c r="I1472" i="5"/>
  <c r="J1469" i="5"/>
  <c r="S1469" i="5" s="1"/>
  <c r="I1423" i="5"/>
  <c r="J1420" i="5"/>
  <c r="J1384" i="5"/>
  <c r="J1383" i="5"/>
  <c r="J1371" i="5"/>
  <c r="J1370" i="5"/>
  <c r="J1290" i="5"/>
  <c r="J1202" i="5"/>
  <c r="J1198" i="5"/>
  <c r="J1127" i="5"/>
  <c r="I1086" i="5"/>
  <c r="J1084" i="5"/>
  <c r="S1084" i="5" s="1"/>
  <c r="I1077" i="5"/>
  <c r="I1181" i="5"/>
  <c r="J1061" i="5"/>
  <c r="J884" i="5"/>
  <c r="J862" i="5"/>
  <c r="J518" i="5"/>
  <c r="J507" i="5"/>
  <c r="J223" i="5"/>
  <c r="S223" i="5" s="1"/>
  <c r="J227" i="5"/>
  <c r="I89" i="5"/>
  <c r="I109" i="5"/>
  <c r="J67" i="5"/>
  <c r="J100" i="5"/>
  <c r="R1159" i="5"/>
  <c r="H1159" i="5"/>
  <c r="S1995" i="5"/>
  <c r="H1995" i="5"/>
  <c r="I1870" i="5"/>
  <c r="T2273" i="5"/>
  <c r="U2273" i="5" s="1"/>
  <c r="T1954" i="5"/>
  <c r="U1954" i="5" s="1"/>
  <c r="L1190" i="5"/>
  <c r="K1955" i="5"/>
  <c r="H2331" i="5"/>
  <c r="H2425" i="5"/>
  <c r="J1034" i="5"/>
  <c r="I1034" i="5"/>
  <c r="J1190" i="5"/>
  <c r="I332" i="5"/>
  <c r="I366" i="5"/>
  <c r="I369" i="5"/>
  <c r="J561" i="5"/>
  <c r="J560" i="5"/>
  <c r="J566" i="5"/>
  <c r="J565" i="5"/>
  <c r="J2098" i="5"/>
  <c r="P1086" i="5"/>
  <c r="P1558" i="5"/>
  <c r="P260" i="5"/>
  <c r="R260" i="5" s="1"/>
  <c r="P1913" i="5"/>
  <c r="P1912" i="5"/>
  <c r="P101" i="5"/>
  <c r="R101" i="5" s="1"/>
  <c r="P1069" i="5"/>
  <c r="P1068" i="5"/>
  <c r="P2002" i="5"/>
  <c r="P2150" i="5"/>
  <c r="P1998" i="5"/>
  <c r="P2148" i="5"/>
  <c r="P1945" i="5"/>
  <c r="P2243" i="5"/>
  <c r="P15" i="5"/>
  <c r="P1761" i="5"/>
  <c r="R1761" i="5"/>
  <c r="P67" i="5"/>
  <c r="P157" i="5"/>
  <c r="P1949" i="5"/>
  <c r="P2155" i="5"/>
  <c r="P2098" i="5"/>
  <c r="O2452" i="5"/>
  <c r="O783" i="5"/>
  <c r="O898" i="5"/>
  <c r="O1737" i="5"/>
  <c r="O2004" i="5"/>
  <c r="O253" i="5"/>
  <c r="O2199" i="5"/>
  <c r="O2002" i="5"/>
  <c r="O2098" i="5"/>
  <c r="O2155" i="5"/>
  <c r="O1889" i="5"/>
  <c r="O333" i="5"/>
  <c r="O2133" i="5"/>
  <c r="O2113" i="5"/>
  <c r="O2230" i="5"/>
  <c r="O2304" i="5"/>
  <c r="O1949" i="5"/>
  <c r="O1948" i="5"/>
  <c r="N898" i="5"/>
  <c r="N2199" i="5"/>
  <c r="N333" i="5"/>
  <c r="N783" i="5"/>
  <c r="N2380" i="5"/>
  <c r="N2150" i="5"/>
  <c r="N2155" i="5"/>
  <c r="N1394" i="5"/>
  <c r="N2098" i="5"/>
  <c r="N2213" i="5"/>
  <c r="N1086" i="5"/>
  <c r="N2230" i="5"/>
  <c r="N1426" i="5"/>
  <c r="N2113" i="5"/>
  <c r="N253" i="5"/>
  <c r="N1949" i="5"/>
  <c r="N1948" i="5"/>
  <c r="N1947" i="5"/>
  <c r="N1422" i="5"/>
  <c r="N1423" i="5"/>
  <c r="N2167" i="5"/>
  <c r="O2167" i="5"/>
  <c r="O1715" i="5"/>
  <c r="O2445" i="5"/>
  <c r="N1620" i="5"/>
  <c r="N2097" i="5"/>
  <c r="N1715" i="5"/>
  <c r="N1690" i="5"/>
  <c r="N2445" i="5"/>
  <c r="L2213" i="5"/>
  <c r="R2213" i="5" s="1"/>
  <c r="L2426" i="5"/>
  <c r="R2426" i="5" s="1"/>
  <c r="S2426" i="5" s="1"/>
  <c r="L2400" i="5"/>
  <c r="R2400" i="5" s="1"/>
  <c r="S2400" i="5" s="1"/>
  <c r="L2157" i="5"/>
  <c r="L2420" i="5"/>
  <c r="L2462" i="5"/>
  <c r="L1851" i="5"/>
  <c r="I1190" i="5"/>
  <c r="I2155" i="5"/>
  <c r="J2155" i="5" s="1"/>
  <c r="S2155" i="5" s="1"/>
  <c r="V2155" i="5" s="1"/>
  <c r="I917" i="5"/>
  <c r="I2307" i="5"/>
  <c r="I2206" i="5"/>
  <c r="I1128" i="5"/>
  <c r="I1564" i="5"/>
  <c r="J1564" i="5" s="1"/>
  <c r="I585" i="5"/>
  <c r="J585" i="5" s="1"/>
  <c r="I861" i="5"/>
  <c r="J861" i="5" s="1"/>
  <c r="I580" i="5"/>
  <c r="J580" i="5" s="1"/>
  <c r="I1757" i="5"/>
  <c r="S428" i="5"/>
  <c r="V428" i="5" s="1"/>
  <c r="S434" i="5"/>
  <c r="V434" i="5"/>
  <c r="S1650" i="5"/>
  <c r="V1650" i="5" s="1"/>
  <c r="S1651" i="5"/>
  <c r="V1651" i="5"/>
  <c r="H1895" i="5"/>
  <c r="H3" i="5"/>
  <c r="H4" i="5"/>
  <c r="H5" i="5"/>
  <c r="H6" i="5"/>
  <c r="H7" i="5"/>
  <c r="H8" i="5"/>
  <c r="H9" i="5"/>
  <c r="H10" i="5"/>
  <c r="H11" i="5"/>
  <c r="H12" i="5"/>
  <c r="H13" i="5"/>
  <c r="H14" i="5"/>
  <c r="H17" i="5"/>
  <c r="H18" i="5"/>
  <c r="H19" i="5"/>
  <c r="H23" i="5"/>
  <c r="H24" i="5"/>
  <c r="H25" i="5"/>
  <c r="H26" i="5"/>
  <c r="H27" i="5"/>
  <c r="H28" i="5"/>
  <c r="H29" i="5"/>
  <c r="H30" i="5"/>
  <c r="H31" i="5"/>
  <c r="H32" i="5"/>
  <c r="H72" i="5"/>
  <c r="H73" i="5"/>
  <c r="H74" i="5"/>
  <c r="H75" i="5"/>
  <c r="H76" i="5"/>
  <c r="H33" i="5"/>
  <c r="H34" i="5"/>
  <c r="H35" i="5"/>
  <c r="H36" i="5"/>
  <c r="H37" i="5"/>
  <c r="H38" i="5"/>
  <c r="H39" i="5"/>
  <c r="H40" i="5"/>
  <c r="H43" i="5"/>
  <c r="H44" i="5"/>
  <c r="H45" i="5"/>
  <c r="H49" i="5"/>
  <c r="H50" i="5"/>
  <c r="H51" i="5"/>
  <c r="H52" i="5"/>
  <c r="H53" i="5"/>
  <c r="H54" i="5"/>
  <c r="H55" i="5"/>
  <c r="H56" i="5"/>
  <c r="H59" i="5"/>
  <c r="H61" i="5"/>
  <c r="H62" i="5"/>
  <c r="H63" i="5"/>
  <c r="H64" i="5"/>
  <c r="H65" i="5"/>
  <c r="H66" i="5"/>
  <c r="H67" i="5"/>
  <c r="H68" i="5"/>
  <c r="H69" i="5"/>
  <c r="H71" i="5"/>
  <c r="H84" i="5"/>
  <c r="H77" i="5"/>
  <c r="H78" i="5"/>
  <c r="H79" i="5"/>
  <c r="H80" i="5"/>
  <c r="H81" i="5"/>
  <c r="H82" i="5"/>
  <c r="H83" i="5"/>
  <c r="H85" i="5"/>
  <c r="H86" i="5"/>
  <c r="H87" i="5"/>
  <c r="H89" i="5"/>
  <c r="H90" i="5"/>
  <c r="H91" i="5"/>
  <c r="H92" i="5"/>
  <c r="H93" i="5"/>
  <c r="H94" i="5"/>
  <c r="H95" i="5"/>
  <c r="H96" i="5"/>
  <c r="H97" i="5"/>
  <c r="H98" i="5"/>
  <c r="H99" i="5"/>
  <c r="H100" i="5"/>
  <c r="H101" i="5"/>
  <c r="H102" i="5"/>
  <c r="H103" i="5"/>
  <c r="H104" i="5"/>
  <c r="H105" i="5"/>
  <c r="H107" i="5"/>
  <c r="H108" i="5"/>
  <c r="H109" i="5"/>
  <c r="H110" i="5"/>
  <c r="H111" i="5"/>
  <c r="H112" i="5"/>
  <c r="H113" i="5"/>
  <c r="H114" i="5"/>
  <c r="H119" i="5"/>
  <c r="H118" i="5"/>
  <c r="H120" i="5"/>
  <c r="H121" i="5"/>
  <c r="H216" i="5"/>
  <c r="H122" i="5"/>
  <c r="H123" i="5"/>
  <c r="H125" i="5"/>
  <c r="H129" i="5"/>
  <c r="H131" i="5"/>
  <c r="H132" i="5"/>
  <c r="H133" i="5"/>
  <c r="H134" i="5"/>
  <c r="H135" i="5"/>
  <c r="H136" i="5"/>
  <c r="H138" i="5"/>
  <c r="H137" i="5"/>
  <c r="H139" i="5"/>
  <c r="H140" i="5"/>
  <c r="H141" i="5"/>
  <c r="H142" i="5"/>
  <c r="H143" i="5"/>
  <c r="H144" i="5"/>
  <c r="H145" i="5"/>
  <c r="H150" i="5"/>
  <c r="H151" i="5"/>
  <c r="H152" i="5"/>
  <c r="H153" i="5"/>
  <c r="H154" i="5"/>
  <c r="H156" i="5"/>
  <c r="H157" i="5"/>
  <c r="H158" i="5"/>
  <c r="H159" i="5"/>
  <c r="H161" i="5"/>
  <c r="H162" i="5"/>
  <c r="H163" i="5"/>
  <c r="H164" i="5"/>
  <c r="H165" i="5"/>
  <c r="H166" i="5"/>
  <c r="H167" i="5"/>
  <c r="H169" i="5"/>
  <c r="H170" i="5"/>
  <c r="H171" i="5"/>
  <c r="H172" i="5"/>
  <c r="H173" i="5"/>
  <c r="H174" i="5"/>
  <c r="H176" i="5"/>
  <c r="H177" i="5"/>
  <c r="H178" i="5"/>
  <c r="H179" i="5"/>
  <c r="H180" i="5"/>
  <c r="H181" i="5"/>
  <c r="H182" i="5"/>
  <c r="H184" i="5"/>
  <c r="H186" i="5"/>
  <c r="H187" i="5"/>
  <c r="H188" i="5"/>
  <c r="H189" i="5"/>
  <c r="H190" i="5"/>
  <c r="H191" i="5"/>
  <c r="H196" i="5"/>
  <c r="H198" i="5"/>
  <c r="H258" i="5"/>
  <c r="H259" i="5"/>
  <c r="H192" i="5"/>
  <c r="H193" i="5"/>
  <c r="H194" i="5"/>
  <c r="H195" i="5"/>
  <c r="H197" i="5"/>
  <c r="H199" i="5"/>
  <c r="H201" i="5"/>
  <c r="H202" i="5"/>
  <c r="H203" i="5"/>
  <c r="H204" i="5"/>
  <c r="H205" i="5"/>
  <c r="H207" i="5"/>
  <c r="H210" i="5"/>
  <c r="H212" i="5"/>
  <c r="H213" i="5"/>
  <c r="H214" i="5"/>
  <c r="H218" i="5"/>
  <c r="H219" i="5"/>
  <c r="H221" i="5"/>
  <c r="H222" i="5"/>
  <c r="H223" i="5"/>
  <c r="H224" i="5"/>
  <c r="H225" i="5"/>
  <c r="H227" i="5"/>
  <c r="H229" i="5"/>
  <c r="H228" i="5"/>
  <c r="H230" i="5"/>
  <c r="H232" i="5"/>
  <c r="H233" i="5"/>
  <c r="H234" i="5"/>
  <c r="H235" i="5"/>
  <c r="H236" i="5"/>
  <c r="H237" i="5"/>
  <c r="H239" i="5"/>
  <c r="H240" i="5"/>
  <c r="H241" i="5"/>
  <c r="H242" i="5"/>
  <c r="H243" i="5"/>
  <c r="H244" i="5"/>
  <c r="H245" i="5"/>
  <c r="H249" i="5"/>
  <c r="H250" i="5"/>
  <c r="H251" i="5"/>
  <c r="H252" i="5"/>
  <c r="H253" i="5"/>
  <c r="H254" i="5"/>
  <c r="H256" i="5"/>
  <c r="H262" i="5"/>
  <c r="H263" i="5"/>
  <c r="H264" i="5"/>
  <c r="H266" i="5"/>
  <c r="H267" i="5"/>
  <c r="H268" i="5"/>
  <c r="H269" i="5"/>
  <c r="H270" i="5"/>
  <c r="H271" i="5"/>
  <c r="H272" i="5"/>
  <c r="H273" i="5"/>
  <c r="H274" i="5"/>
  <c r="H275" i="5"/>
  <c r="H276" i="5"/>
  <c r="H277" i="5"/>
  <c r="H279" i="5"/>
  <c r="H280" i="5"/>
  <c r="H281" i="5"/>
  <c r="H282" i="5"/>
  <c r="H283" i="5"/>
  <c r="H284" i="5"/>
  <c r="H285" i="5"/>
  <c r="H286" i="5"/>
  <c r="H287" i="5"/>
  <c r="H288" i="5"/>
  <c r="H289" i="5"/>
  <c r="H290" i="5"/>
  <c r="H291" i="5"/>
  <c r="H292" i="5"/>
  <c r="H293" i="5"/>
  <c r="H295" i="5"/>
  <c r="H296" i="5"/>
  <c r="H294"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60" i="5"/>
  <c r="H361" i="5"/>
  <c r="H363" i="5"/>
  <c r="H364" i="5"/>
  <c r="H365" i="5"/>
  <c r="H366" i="5"/>
  <c r="H367" i="5"/>
  <c r="H368" i="5"/>
  <c r="H369" i="5"/>
  <c r="H370" i="5"/>
  <c r="H371" i="5"/>
  <c r="H373" i="5"/>
  <c r="H374" i="5"/>
  <c r="H376" i="5"/>
  <c r="H378" i="5"/>
  <c r="H380" i="5"/>
  <c r="H379" i="5"/>
  <c r="H381" i="5"/>
  <c r="H382" i="5"/>
  <c r="H383" i="5"/>
  <c r="H384" i="5"/>
  <c r="H385" i="5"/>
  <c r="H386" i="5"/>
  <c r="H387" i="5"/>
  <c r="H388" i="5"/>
  <c r="H390" i="5"/>
  <c r="H391" i="5"/>
  <c r="H392" i="5"/>
  <c r="H393" i="5"/>
  <c r="H396" i="5"/>
  <c r="H394" i="5"/>
  <c r="H395" i="5"/>
  <c r="H397" i="5"/>
  <c r="H398" i="5"/>
  <c r="H399" i="5"/>
  <c r="H400" i="5"/>
  <c r="H401" i="5"/>
  <c r="H402" i="5"/>
  <c r="H403" i="5"/>
  <c r="H407" i="5"/>
  <c r="H406" i="5"/>
  <c r="H408" i="5"/>
  <c r="H409" i="5"/>
  <c r="H410" i="5"/>
  <c r="H411" i="5"/>
  <c r="H412" i="5"/>
  <c r="H413" i="5"/>
  <c r="H414" i="5"/>
  <c r="H416" i="5"/>
  <c r="H418" i="5"/>
  <c r="H419" i="5"/>
  <c r="H421" i="5"/>
  <c r="H422" i="5"/>
  <c r="H423" i="5"/>
  <c r="H424" i="5"/>
  <c r="H425" i="5"/>
  <c r="H426" i="5"/>
  <c r="H427" i="5"/>
  <c r="H428" i="5"/>
  <c r="H429" i="5"/>
  <c r="H430" i="5"/>
  <c r="H431" i="5"/>
  <c r="H432" i="5"/>
  <c r="H433" i="5"/>
  <c r="H434" i="5"/>
  <c r="H436" i="5"/>
  <c r="H437" i="5"/>
  <c r="H438" i="5"/>
  <c r="H439" i="5"/>
  <c r="H441" i="5"/>
  <c r="H442" i="5"/>
  <c r="H443" i="5"/>
  <c r="H444" i="5"/>
  <c r="H445" i="5"/>
  <c r="H446" i="5"/>
  <c r="H447" i="5"/>
  <c r="H448" i="5"/>
  <c r="H449" i="5"/>
  <c r="H451" i="5"/>
  <c r="H452" i="5"/>
  <c r="H453" i="5"/>
  <c r="H454" i="5"/>
  <c r="H455" i="5"/>
  <c r="H456" i="5"/>
  <c r="H457" i="5"/>
  <c r="H458" i="5"/>
  <c r="H459" i="5"/>
  <c r="H460" i="5"/>
  <c r="H461" i="5"/>
  <c r="H462" i="5"/>
  <c r="H463" i="5"/>
  <c r="H464" i="5"/>
  <c r="H465" i="5"/>
  <c r="H466" i="5"/>
  <c r="H467" i="5"/>
  <c r="H468" i="5"/>
  <c r="H469" i="5"/>
  <c r="H470" i="5"/>
  <c r="H472" i="5"/>
  <c r="H473" i="5"/>
  <c r="H474" i="5"/>
  <c r="H476" i="5"/>
  <c r="H477" i="5"/>
  <c r="H478" i="5"/>
  <c r="H479" i="5"/>
  <c r="H481" i="5"/>
  <c r="H482" i="5"/>
  <c r="H486" i="5"/>
  <c r="H487" i="5"/>
  <c r="H488" i="5"/>
  <c r="H489" i="5"/>
  <c r="H490" i="5"/>
  <c r="H492" i="5"/>
  <c r="H491" i="5"/>
  <c r="H494" i="5"/>
  <c r="H496" i="5"/>
  <c r="H497" i="5"/>
  <c r="H498" i="5"/>
  <c r="H499" i="5"/>
  <c r="H500" i="5"/>
  <c r="H501" i="5"/>
  <c r="H502" i="5"/>
  <c r="H503" i="5"/>
  <c r="H504" i="5"/>
  <c r="H506" i="5"/>
  <c r="H507" i="5"/>
  <c r="H508" i="5"/>
  <c r="H509" i="5"/>
  <c r="H510" i="5"/>
  <c r="H511" i="5"/>
  <c r="H513" i="5"/>
  <c r="H512" i="5"/>
  <c r="H514" i="5"/>
  <c r="H515" i="5"/>
  <c r="H516" i="5"/>
  <c r="H517" i="5"/>
  <c r="H518" i="5"/>
  <c r="H523" i="5"/>
  <c r="H522" i="5"/>
  <c r="H521" i="5"/>
  <c r="H520" i="5"/>
  <c r="H526" i="5"/>
  <c r="H527" i="5"/>
  <c r="H528" i="5"/>
  <c r="H529" i="5"/>
  <c r="H530" i="5"/>
  <c r="H534" i="5"/>
  <c r="H531" i="5"/>
  <c r="H532" i="5"/>
  <c r="H533" i="5"/>
  <c r="H538" i="5"/>
  <c r="H537" i="5"/>
  <c r="H535" i="5"/>
  <c r="H536" i="5"/>
  <c r="H539" i="5"/>
  <c r="H540" i="5"/>
  <c r="H543" i="5"/>
  <c r="H542" i="5"/>
  <c r="H544" i="5"/>
  <c r="H545" i="5"/>
  <c r="H546" i="5"/>
  <c r="H547" i="5"/>
  <c r="H548" i="5"/>
  <c r="H549" i="5"/>
  <c r="H550" i="5"/>
  <c r="H551" i="5"/>
  <c r="H552" i="5"/>
  <c r="H553" i="5"/>
  <c r="H554" i="5"/>
  <c r="H556" i="5"/>
  <c r="H555" i="5"/>
  <c r="H557" i="5"/>
  <c r="H559" i="5"/>
  <c r="H560" i="5"/>
  <c r="H561" i="5"/>
  <c r="H562" i="5"/>
  <c r="H563" i="5"/>
  <c r="H564" i="5"/>
  <c r="H565" i="5"/>
  <c r="H566" i="5"/>
  <c r="H567" i="5"/>
  <c r="H568" i="5"/>
  <c r="H569" i="5"/>
  <c r="H570" i="5"/>
  <c r="H571" i="5"/>
  <c r="H572"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5" i="5"/>
  <c r="H606" i="5"/>
  <c r="H607" i="5"/>
  <c r="H608" i="5"/>
  <c r="H609" i="5"/>
  <c r="H610" i="5"/>
  <c r="H611" i="5"/>
  <c r="H612" i="5"/>
  <c r="H613" i="5"/>
  <c r="H614" i="5"/>
  <c r="H615" i="5"/>
  <c r="H616" i="5"/>
  <c r="H617" i="5"/>
  <c r="H618" i="5"/>
  <c r="H619" i="5"/>
  <c r="H620" i="5"/>
  <c r="H621" i="5"/>
  <c r="H622" i="5"/>
  <c r="H623" i="5"/>
  <c r="H625" i="5"/>
  <c r="H626" i="5"/>
  <c r="H628" i="5"/>
  <c r="H629" i="5"/>
  <c r="H630" i="5"/>
  <c r="H631" i="5"/>
  <c r="H633" i="5"/>
  <c r="H632" i="5"/>
  <c r="H634" i="5"/>
  <c r="H635" i="5"/>
  <c r="H636" i="5"/>
  <c r="H637" i="5"/>
  <c r="H638" i="5"/>
  <c r="H639" i="5"/>
  <c r="H642" i="5"/>
  <c r="H643" i="5"/>
  <c r="H644" i="5"/>
  <c r="H645" i="5"/>
  <c r="H646" i="5"/>
  <c r="H649" i="5"/>
  <c r="H648" i="5"/>
  <c r="H647" i="5"/>
  <c r="H650" i="5"/>
  <c r="H651" i="5"/>
  <c r="H652" i="5"/>
  <c r="H654" i="5"/>
  <c r="H653" i="5"/>
  <c r="H655" i="5"/>
  <c r="H656" i="5"/>
  <c r="H657" i="5"/>
  <c r="H659" i="5"/>
  <c r="H661" i="5"/>
  <c r="H663" i="5"/>
  <c r="H670" i="5"/>
  <c r="H671" i="5"/>
  <c r="H672" i="5"/>
  <c r="H673" i="5"/>
  <c r="H675" i="5"/>
  <c r="H676" i="5"/>
  <c r="H677" i="5"/>
  <c r="H678" i="5"/>
  <c r="H679" i="5"/>
  <c r="H680" i="5"/>
  <c r="H681" i="5"/>
  <c r="H682" i="5"/>
  <c r="H683" i="5"/>
  <c r="H685" i="5"/>
  <c r="H687" i="5"/>
  <c r="H688" i="5"/>
  <c r="H689" i="5"/>
  <c r="H691" i="5"/>
  <c r="H692" i="5"/>
  <c r="H693" i="5"/>
  <c r="H694" i="5"/>
  <c r="H695" i="5"/>
  <c r="H696" i="5"/>
  <c r="H697" i="5"/>
  <c r="H699" i="5"/>
  <c r="H700" i="5"/>
  <c r="H702" i="5"/>
  <c r="H701" i="5"/>
  <c r="H703" i="5"/>
  <c r="H704" i="5"/>
  <c r="H705" i="5"/>
  <c r="H706" i="5"/>
  <c r="H707" i="5"/>
  <c r="H709" i="5"/>
  <c r="H710" i="5"/>
  <c r="H711" i="5"/>
  <c r="H712" i="5"/>
  <c r="H713" i="5"/>
  <c r="H714" i="5"/>
  <c r="H716" i="5"/>
  <c r="H717" i="5"/>
  <c r="H718" i="5"/>
  <c r="H720" i="5"/>
  <c r="H721" i="5"/>
  <c r="H722" i="5"/>
  <c r="H723" i="5"/>
  <c r="H725" i="5"/>
  <c r="H724" i="5"/>
  <c r="H726" i="5"/>
  <c r="H728" i="5"/>
  <c r="H729" i="5"/>
  <c r="H730" i="5"/>
  <c r="H731" i="5"/>
  <c r="H732" i="5"/>
  <c r="H735" i="5"/>
  <c r="H737" i="5"/>
  <c r="H739" i="5"/>
  <c r="H741" i="5"/>
  <c r="H743" i="5"/>
  <c r="H744" i="5"/>
  <c r="H745" i="5"/>
  <c r="H747" i="5"/>
  <c r="H750" i="5"/>
  <c r="H746" i="5"/>
  <c r="H748" i="5"/>
  <c r="H749" i="5"/>
  <c r="H752" i="5"/>
  <c r="H753" i="5"/>
  <c r="H754" i="5"/>
  <c r="H755" i="5"/>
  <c r="H756" i="5"/>
  <c r="H757" i="5"/>
  <c r="H758" i="5"/>
  <c r="H759" i="5"/>
  <c r="H760" i="5"/>
  <c r="H761" i="5"/>
  <c r="H762" i="5"/>
  <c r="H764" i="5"/>
  <c r="H765" i="5"/>
  <c r="H766" i="5"/>
  <c r="H769" i="5"/>
  <c r="H768" i="5"/>
  <c r="H771" i="5"/>
  <c r="H772" i="5"/>
  <c r="H774" i="5"/>
  <c r="H776" i="5"/>
  <c r="H777" i="5"/>
  <c r="H778" i="5"/>
  <c r="H779" i="5"/>
  <c r="H780" i="5"/>
  <c r="H781" i="5"/>
  <c r="H782" i="5"/>
  <c r="H783" i="5"/>
  <c r="H785" i="5"/>
  <c r="H786" i="5"/>
  <c r="H787" i="5"/>
  <c r="H810" i="5"/>
  <c r="H811" i="5"/>
  <c r="H812" i="5"/>
  <c r="H814" i="5"/>
  <c r="H815" i="5"/>
  <c r="H816" i="5"/>
  <c r="H817" i="5"/>
  <c r="H818" i="5"/>
  <c r="H819" i="5"/>
  <c r="H820" i="5"/>
  <c r="H821" i="5"/>
  <c r="H823" i="5"/>
  <c r="H824" i="5"/>
  <c r="H826" i="5"/>
  <c r="H827" i="5"/>
  <c r="H830" i="5"/>
  <c r="H831" i="5"/>
  <c r="H832" i="5"/>
  <c r="H833" i="5"/>
  <c r="H834" i="5"/>
  <c r="H837" i="5"/>
  <c r="H838" i="5"/>
  <c r="H887" i="5"/>
  <c r="H839" i="5"/>
  <c r="H840" i="5"/>
  <c r="H841" i="5"/>
  <c r="H842" i="5"/>
  <c r="H843" i="5"/>
  <c r="H889" i="5"/>
  <c r="H844" i="5"/>
  <c r="H845" i="5"/>
  <c r="H847" i="5"/>
  <c r="H890" i="5"/>
  <c r="H891" i="5"/>
  <c r="H851" i="5"/>
  <c r="H892" i="5"/>
  <c r="H893" i="5"/>
  <c r="H853" i="5"/>
  <c r="H854" i="5"/>
  <c r="H856" i="5"/>
  <c r="H855" i="5"/>
  <c r="H857" i="5"/>
  <c r="H858" i="5"/>
  <c r="H859" i="5"/>
  <c r="H860" i="5"/>
  <c r="H861" i="5"/>
  <c r="H862" i="5"/>
  <c r="H863" i="5"/>
  <c r="H864" i="5"/>
  <c r="H865" i="5"/>
  <c r="H866" i="5"/>
  <c r="H867" i="5"/>
  <c r="H868" i="5"/>
  <c r="H870" i="5"/>
  <c r="H871" i="5"/>
  <c r="H872" i="5"/>
  <c r="H873" i="5"/>
  <c r="H874" i="5"/>
  <c r="H876" i="5"/>
  <c r="H875" i="5"/>
  <c r="H877" i="5"/>
  <c r="H878" i="5"/>
  <c r="H879" i="5"/>
  <c r="H880" i="5"/>
  <c r="H881" i="5"/>
  <c r="H882" i="5"/>
  <c r="H883" i="5"/>
  <c r="H885" i="5"/>
  <c r="H884" i="5"/>
  <c r="H886" i="5"/>
  <c r="H888" i="5"/>
  <c r="H895" i="5"/>
  <c r="H896" i="5"/>
  <c r="H897" i="5"/>
  <c r="H898" i="5"/>
  <c r="H899" i="5"/>
  <c r="H900" i="5"/>
  <c r="H901" i="5"/>
  <c r="H902" i="5"/>
  <c r="H904" i="5"/>
  <c r="H906" i="5"/>
  <c r="H905" i="5"/>
  <c r="H907" i="5"/>
  <c r="H908" i="5"/>
  <c r="H909" i="5"/>
  <c r="H911" i="5"/>
  <c r="H912" i="5"/>
  <c r="H913" i="5"/>
  <c r="H915" i="5"/>
  <c r="H914" i="5"/>
  <c r="H916" i="5"/>
  <c r="H917" i="5"/>
  <c r="H918" i="5"/>
  <c r="H919" i="5"/>
  <c r="H920" i="5"/>
  <c r="H921" i="5"/>
  <c r="H922" i="5"/>
  <c r="H923" i="5"/>
  <c r="H924" i="5"/>
  <c r="H925" i="5"/>
  <c r="H926" i="5"/>
  <c r="H927" i="5"/>
  <c r="H931" i="5"/>
  <c r="H932" i="5"/>
  <c r="H933" i="5"/>
  <c r="H934" i="5"/>
  <c r="H936" i="5"/>
  <c r="H942" i="5"/>
  <c r="H943" i="5"/>
  <c r="H944" i="5"/>
  <c r="H940" i="5"/>
  <c r="H939" i="5"/>
  <c r="H941" i="5"/>
  <c r="H938" i="5"/>
  <c r="H945" i="5"/>
  <c r="H946" i="5"/>
  <c r="H947" i="5"/>
  <c r="H948" i="5"/>
  <c r="H949" i="5"/>
  <c r="H950" i="5"/>
  <c r="H953" i="5"/>
  <c r="H954" i="5"/>
  <c r="H955" i="5"/>
  <c r="H956" i="5"/>
  <c r="H959" i="5"/>
  <c r="H958" i="5"/>
  <c r="H960" i="5"/>
  <c r="H961" i="5"/>
  <c r="H962" i="5"/>
  <c r="H964" i="5"/>
  <c r="H963" i="5"/>
  <c r="H965" i="5"/>
  <c r="H966" i="5"/>
  <c r="H967" i="5"/>
  <c r="H968" i="5"/>
  <c r="H969" i="5"/>
  <c r="H970" i="5"/>
  <c r="H971" i="5"/>
  <c r="H972" i="5"/>
  <c r="H974" i="5"/>
  <c r="H975" i="5"/>
  <c r="H973" i="5"/>
  <c r="H978" i="5"/>
  <c r="H977" i="5"/>
  <c r="H976" i="5"/>
  <c r="H979" i="5"/>
  <c r="H980" i="5"/>
  <c r="H981" i="5"/>
  <c r="H982" i="5"/>
  <c r="H983" i="5"/>
  <c r="H984" i="5"/>
  <c r="H985" i="5"/>
  <c r="H986" i="5"/>
  <c r="H987" i="5"/>
  <c r="H988" i="5"/>
  <c r="H989" i="5"/>
  <c r="H990" i="5"/>
  <c r="H991" i="5"/>
  <c r="H993" i="5"/>
  <c r="H994" i="5"/>
  <c r="H995" i="5"/>
  <c r="H996" i="5"/>
  <c r="H997" i="5"/>
  <c r="H1001" i="5"/>
  <c r="H1002" i="5"/>
  <c r="H1004" i="5"/>
  <c r="H1003" i="5"/>
  <c r="H1005" i="5"/>
  <c r="H1006" i="5"/>
  <c r="H1008" i="5"/>
  <c r="H1009" i="5"/>
  <c r="H1010" i="5"/>
  <c r="H1011" i="5"/>
  <c r="H1012" i="5"/>
  <c r="H1013" i="5"/>
  <c r="H1014" i="5"/>
  <c r="H1015" i="5"/>
  <c r="H1017" i="5"/>
  <c r="H1018" i="5"/>
  <c r="H1019" i="5"/>
  <c r="H1020" i="5"/>
  <c r="H1022" i="5"/>
  <c r="H1023" i="5"/>
  <c r="H1024" i="5"/>
  <c r="H1025" i="5"/>
  <c r="H1026" i="5"/>
  <c r="H1027" i="5"/>
  <c r="H1028" i="5"/>
  <c r="H1029" i="5"/>
  <c r="H1034" i="5"/>
  <c r="H1035" i="5"/>
  <c r="H1036" i="5"/>
  <c r="H1037" i="5"/>
  <c r="H1041" i="5"/>
  <c r="H1040" i="5"/>
  <c r="H1042" i="5"/>
  <c r="H1043" i="5"/>
  <c r="H1044" i="5"/>
  <c r="H1045" i="5"/>
  <c r="H1046" i="5"/>
  <c r="H1047" i="5"/>
  <c r="H1048" i="5"/>
  <c r="H1050" i="5"/>
  <c r="H1051" i="5"/>
  <c r="H1052" i="5"/>
  <c r="H1053" i="5"/>
  <c r="H1057" i="5"/>
  <c r="H1058" i="5"/>
  <c r="H1059" i="5"/>
  <c r="H1060" i="5"/>
  <c r="H1061" i="5"/>
  <c r="H1062" i="5"/>
  <c r="H1063" i="5"/>
  <c r="H1064" i="5"/>
  <c r="H1065" i="5"/>
  <c r="H1066" i="5"/>
  <c r="H1067" i="5"/>
  <c r="H1068" i="5"/>
  <c r="H1069" i="5"/>
  <c r="H1070" i="5"/>
  <c r="H1071" i="5"/>
  <c r="H1072" i="5"/>
  <c r="H1073"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7" i="5"/>
  <c r="H1148" i="5"/>
  <c r="H1151" i="5"/>
  <c r="H1152" i="5"/>
  <c r="H1156" i="5"/>
  <c r="H1158" i="5"/>
  <c r="H1160" i="5"/>
  <c r="H1161" i="5"/>
  <c r="H1162" i="5"/>
  <c r="H1163" i="5"/>
  <c r="H1164" i="5"/>
  <c r="H1165" i="5"/>
  <c r="H1166" i="5"/>
  <c r="H1167" i="5"/>
  <c r="H1168" i="5"/>
  <c r="H1169" i="5"/>
  <c r="H1170" i="5"/>
  <c r="H1171" i="5"/>
  <c r="H1172" i="5"/>
  <c r="H1173" i="5"/>
  <c r="H1174" i="5"/>
  <c r="H1175" i="5"/>
  <c r="H1176" i="5"/>
  <c r="H1177" i="5"/>
  <c r="H1178" i="5"/>
  <c r="H1180" i="5"/>
  <c r="H1181" i="5"/>
  <c r="H1182" i="5"/>
  <c r="H1183" i="5"/>
  <c r="H1184" i="5"/>
  <c r="H1185" i="5"/>
  <c r="H1186" i="5"/>
  <c r="H1188" i="5"/>
  <c r="H1189" i="5"/>
  <c r="H1190" i="5"/>
  <c r="H1192" i="5"/>
  <c r="H1193" i="5"/>
  <c r="H1194" i="5"/>
  <c r="H1196" i="5"/>
  <c r="H1197" i="5"/>
  <c r="H1198" i="5"/>
  <c r="H1199" i="5"/>
  <c r="H1200" i="5"/>
  <c r="H1201" i="5"/>
  <c r="H1202" i="5"/>
  <c r="H1203" i="5"/>
  <c r="H1204" i="5"/>
  <c r="H1205" i="5"/>
  <c r="H1206" i="5"/>
  <c r="H1207" i="5"/>
  <c r="H1208" i="5"/>
  <c r="H1209" i="5"/>
  <c r="H1210" i="5"/>
  <c r="H1211" i="5"/>
  <c r="H1212" i="5"/>
  <c r="H1213" i="5"/>
  <c r="H1215" i="5"/>
  <c r="H1216" i="5"/>
  <c r="H1217" i="5"/>
  <c r="H1219" i="5"/>
  <c r="H1222" i="5"/>
  <c r="H1223" i="5"/>
  <c r="H1226" i="5"/>
  <c r="H1227" i="5"/>
  <c r="H1229" i="5"/>
  <c r="H1228" i="5"/>
  <c r="H1230" i="5"/>
  <c r="H1231" i="5"/>
  <c r="H1232" i="5"/>
  <c r="H1233" i="5"/>
  <c r="H1234" i="5"/>
  <c r="H1236" i="5"/>
  <c r="H1237" i="5"/>
  <c r="H1239" i="5"/>
  <c r="H1240" i="5"/>
  <c r="H1241" i="5"/>
  <c r="H1242" i="5"/>
  <c r="H1243" i="5"/>
  <c r="H1244" i="5"/>
  <c r="H1245" i="5"/>
  <c r="H1246" i="5"/>
  <c r="H1247" i="5"/>
  <c r="H1248" i="5"/>
  <c r="H1249" i="5"/>
  <c r="H1250" i="5"/>
  <c r="H1251" i="5"/>
  <c r="H1252" i="5"/>
  <c r="H1253" i="5"/>
  <c r="H1254" i="5"/>
  <c r="H1255" i="5"/>
  <c r="H1256" i="5"/>
  <c r="H1257" i="5"/>
  <c r="H1258" i="5"/>
  <c r="H1259" i="5"/>
  <c r="H1261" i="5"/>
  <c r="H1260" i="5"/>
  <c r="H1263" i="5"/>
  <c r="H1264" i="5"/>
  <c r="H1265" i="5"/>
  <c r="H1266" i="5"/>
  <c r="H1267" i="5"/>
  <c r="H1268" i="5"/>
  <c r="H1270" i="5"/>
  <c r="H1271" i="5"/>
  <c r="H1273" i="5"/>
  <c r="H1274" i="5"/>
  <c r="H1275" i="5"/>
  <c r="H1276" i="5"/>
  <c r="H1277" i="5"/>
  <c r="H1278" i="5"/>
  <c r="H1279" i="5"/>
  <c r="H1280" i="5"/>
  <c r="H1281" i="5"/>
  <c r="H1282" i="5"/>
  <c r="H1283" i="5"/>
  <c r="H1284" i="5"/>
  <c r="H1286" i="5"/>
  <c r="H1287" i="5"/>
  <c r="H1288" i="5"/>
  <c r="H1290" i="5"/>
  <c r="H1293" i="5"/>
  <c r="H1292" i="5"/>
  <c r="H1295" i="5"/>
  <c r="H1296" i="5"/>
  <c r="H1297" i="5"/>
  <c r="H1299" i="5"/>
  <c r="H1300" i="5"/>
  <c r="H1301" i="5"/>
  <c r="H1302" i="5"/>
  <c r="H1303" i="5"/>
  <c r="H1304" i="5"/>
  <c r="H1305" i="5"/>
  <c r="H1306" i="5"/>
  <c r="H1307" i="5"/>
  <c r="H1308" i="5"/>
  <c r="H1309" i="5"/>
  <c r="H1310" i="5"/>
  <c r="H1311" i="5"/>
  <c r="H1312" i="5"/>
  <c r="H1313" i="5"/>
  <c r="H1315" i="5"/>
  <c r="H1316" i="5"/>
  <c r="H1317" i="5"/>
  <c r="H1318" i="5"/>
  <c r="H1319" i="5"/>
  <c r="H1320" i="5"/>
  <c r="H1321" i="5"/>
  <c r="H1324" i="5"/>
  <c r="H1326" i="5"/>
  <c r="H1327" i="5"/>
  <c r="H1328" i="5"/>
  <c r="H1329" i="5"/>
  <c r="H1330" i="5"/>
  <c r="H1332" i="5"/>
  <c r="H1333" i="5"/>
  <c r="H1334" i="5"/>
  <c r="H1336" i="5"/>
  <c r="H1337" i="5"/>
  <c r="H1338" i="5"/>
  <c r="H1339" i="5"/>
  <c r="H1340" i="5"/>
  <c r="H1341" i="5"/>
  <c r="H1342" i="5"/>
  <c r="H1344" i="5"/>
  <c r="H1345" i="5"/>
  <c r="H1346" i="5"/>
  <c r="H1347" i="5"/>
  <c r="H1348" i="5"/>
  <c r="H1349" i="5"/>
  <c r="H1350" i="5"/>
  <c r="H1351" i="5"/>
  <c r="H1352" i="5"/>
  <c r="H1353" i="5"/>
  <c r="H1354" i="5"/>
  <c r="H1355" i="5"/>
  <c r="H1358" i="5"/>
  <c r="H1359" i="5"/>
  <c r="H1361" i="5"/>
  <c r="H1362" i="5"/>
  <c r="H1363" i="5"/>
  <c r="H1364" i="5"/>
  <c r="H1367" i="5"/>
  <c r="H1368" i="5"/>
  <c r="H1369" i="5"/>
  <c r="H1371" i="5"/>
  <c r="H1373" i="5"/>
  <c r="H1374" i="5"/>
  <c r="H1375" i="5"/>
  <c r="H1376" i="5"/>
  <c r="H1377" i="5"/>
  <c r="H1378" i="5"/>
  <c r="H1379" i="5"/>
  <c r="H1380" i="5"/>
  <c r="H1381" i="5"/>
  <c r="H1384" i="5"/>
  <c r="H1385" i="5"/>
  <c r="H1386" i="5"/>
  <c r="H1387" i="5"/>
  <c r="H1388" i="5"/>
  <c r="H1389" i="5"/>
  <c r="H1390" i="5"/>
  <c r="H1393" i="5"/>
  <c r="H1394" i="5"/>
  <c r="H1395" i="5"/>
  <c r="H1396" i="5"/>
  <c r="H1397" i="5"/>
  <c r="H1398" i="5"/>
  <c r="H1400" i="5"/>
  <c r="H1401" i="5"/>
  <c r="H1402" i="5"/>
  <c r="H1403" i="5"/>
  <c r="H1404" i="5"/>
  <c r="H1405" i="5"/>
  <c r="H1406" i="5"/>
  <c r="H1407" i="5"/>
  <c r="H1408" i="5"/>
  <c r="H1409" i="5"/>
  <c r="H1411" i="5"/>
  <c r="H1412" i="5"/>
  <c r="H1413" i="5"/>
  <c r="H1414" i="5"/>
  <c r="H1415" i="5"/>
  <c r="H1416" i="5"/>
  <c r="H1417" i="5"/>
  <c r="H1418" i="5"/>
  <c r="H1419" i="5"/>
  <c r="H1420" i="5"/>
  <c r="H1421" i="5"/>
  <c r="H1422" i="5"/>
  <c r="H1423" i="5"/>
  <c r="H1424" i="5"/>
  <c r="H1425" i="5"/>
  <c r="H1426" i="5"/>
  <c r="H1427" i="5"/>
  <c r="H1428" i="5"/>
  <c r="H1430" i="5"/>
  <c r="H1431" i="5"/>
  <c r="H1432" i="5"/>
  <c r="H1433" i="5"/>
  <c r="H1434" i="5"/>
  <c r="H1435" i="5"/>
  <c r="H1436" i="5"/>
  <c r="H1437" i="5"/>
  <c r="H1438" i="5"/>
  <c r="H1439"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7" i="5"/>
  <c r="H1468" i="5"/>
  <c r="H1470" i="5"/>
  <c r="H1471" i="5"/>
  <c r="H1472" i="5"/>
  <c r="H1473" i="5"/>
  <c r="H1474" i="5"/>
  <c r="H1475" i="5"/>
  <c r="H1476" i="5"/>
  <c r="H1477" i="5"/>
  <c r="H1478" i="5"/>
  <c r="H1479" i="5"/>
  <c r="H1480" i="5"/>
  <c r="H1481" i="5"/>
  <c r="H1483" i="5"/>
  <c r="H1486" i="5"/>
  <c r="H1487" i="5"/>
  <c r="H1489" i="5"/>
  <c r="H1492" i="5"/>
  <c r="H1493" i="5"/>
  <c r="H1495" i="5"/>
  <c r="H1496" i="5"/>
  <c r="H1497" i="5"/>
  <c r="H1498" i="5"/>
  <c r="H1499" i="5"/>
  <c r="H1500" i="5"/>
  <c r="H1502" i="5"/>
  <c r="H1504" i="5"/>
  <c r="H1505" i="5"/>
  <c r="H1506" i="5"/>
  <c r="H1508" i="5"/>
  <c r="H1510" i="5"/>
  <c r="H1513" i="5"/>
  <c r="H1511" i="5"/>
  <c r="H1517" i="5"/>
  <c r="H1514" i="5"/>
  <c r="H1516" i="5"/>
  <c r="H1515" i="5"/>
  <c r="H1512" i="5"/>
  <c r="H1519" i="5"/>
  <c r="H1518" i="5"/>
  <c r="H1520" i="5"/>
  <c r="H1521" i="5"/>
  <c r="H1522" i="5"/>
  <c r="H1523" i="5"/>
  <c r="H1526" i="5"/>
  <c r="H1524" i="5"/>
  <c r="H1525" i="5"/>
  <c r="H1527" i="5"/>
  <c r="H1528" i="5"/>
  <c r="H1529" i="5"/>
  <c r="H1530" i="5"/>
  <c r="H1532" i="5"/>
  <c r="H1533" i="5"/>
  <c r="H1534" i="5"/>
  <c r="H1535" i="5"/>
  <c r="H1536" i="5"/>
  <c r="H1537" i="5"/>
  <c r="H1538" i="5"/>
  <c r="H1540" i="5"/>
  <c r="H1541" i="5"/>
  <c r="H1542" i="5"/>
  <c r="H1543" i="5"/>
  <c r="H1544" i="5"/>
  <c r="H1545" i="5"/>
  <c r="H1546" i="5"/>
  <c r="H1547" i="5"/>
  <c r="H1548" i="5"/>
  <c r="H1549" i="5"/>
  <c r="H1550" i="5"/>
  <c r="H1551" i="5"/>
  <c r="H1552" i="5"/>
  <c r="H1553" i="5"/>
  <c r="H1555" i="5"/>
  <c r="H1556" i="5"/>
  <c r="H1558" i="5"/>
  <c r="H1559" i="5"/>
  <c r="H1561" i="5"/>
  <c r="H1562" i="5"/>
  <c r="H1563" i="5"/>
  <c r="H1565" i="5"/>
  <c r="H1564" i="5"/>
  <c r="H1568" i="5"/>
  <c r="H1573" i="5"/>
  <c r="H1567" i="5"/>
  <c r="H1572" i="5"/>
  <c r="H1570" i="5"/>
  <c r="H1571" i="5"/>
  <c r="H1575" i="5"/>
  <c r="H1574" i="5"/>
  <c r="H1566" i="5"/>
  <c r="H1576" i="5"/>
  <c r="H1577" i="5"/>
  <c r="H1579" i="5"/>
  <c r="H1581" i="5"/>
  <c r="H1582" i="5"/>
  <c r="H1583" i="5"/>
  <c r="H1584" i="5"/>
  <c r="H1585" i="5"/>
  <c r="H1586" i="5"/>
  <c r="H1587" i="5"/>
  <c r="H1588" i="5"/>
  <c r="H1589" i="5"/>
  <c r="H1590" i="5"/>
  <c r="H1591" i="5"/>
  <c r="H1593" i="5"/>
  <c r="H1596" i="5"/>
  <c r="H1597" i="5"/>
  <c r="H1598" i="5"/>
  <c r="H1599" i="5"/>
  <c r="H1600" i="5"/>
  <c r="H1601" i="5"/>
  <c r="H1602" i="5"/>
  <c r="H1603" i="5"/>
  <c r="H1604" i="5"/>
  <c r="H1606" i="5"/>
  <c r="H1607" i="5"/>
  <c r="H1608" i="5"/>
  <c r="H1609" i="5"/>
  <c r="H1610" i="5"/>
  <c r="H1611" i="5"/>
  <c r="H1612" i="5"/>
  <c r="H1613" i="5"/>
  <c r="H1614" i="5"/>
  <c r="H1615" i="5"/>
  <c r="H1616" i="5"/>
  <c r="H1617" i="5"/>
  <c r="H1618" i="5"/>
  <c r="H1619" i="5"/>
  <c r="H1620" i="5"/>
  <c r="H1621" i="5"/>
  <c r="H1622" i="5"/>
  <c r="H1623" i="5"/>
  <c r="H1625" i="5"/>
  <c r="H1626" i="5"/>
  <c r="H1628" i="5"/>
  <c r="H1629" i="5"/>
  <c r="H1630" i="5"/>
  <c r="H1631" i="5"/>
  <c r="H1632" i="5"/>
  <c r="H1633" i="5"/>
  <c r="H1634" i="5"/>
  <c r="H1635" i="5"/>
  <c r="H1637" i="5"/>
  <c r="H1639" i="5"/>
  <c r="H1640" i="5"/>
  <c r="H1641" i="5"/>
  <c r="H1642" i="5"/>
  <c r="H1643" i="5"/>
  <c r="H1646" i="5"/>
  <c r="H1645" i="5"/>
  <c r="H1644" i="5"/>
  <c r="H1648" i="5"/>
  <c r="H1649" i="5"/>
  <c r="H1650" i="5"/>
  <c r="H1651" i="5"/>
  <c r="H1652" i="5"/>
  <c r="H1653" i="5"/>
  <c r="H1654" i="5"/>
  <c r="H1655" i="5"/>
  <c r="H1656" i="5"/>
  <c r="H1657" i="5"/>
  <c r="H1658" i="5"/>
  <c r="H1659" i="5"/>
  <c r="H1661" i="5"/>
  <c r="H1660" i="5"/>
  <c r="H1662" i="5"/>
  <c r="H1663" i="5"/>
  <c r="H1664" i="5"/>
  <c r="H1665" i="5"/>
  <c r="H1666" i="5"/>
  <c r="H1667" i="5"/>
  <c r="H1668" i="5"/>
  <c r="H1670" i="5"/>
  <c r="H1671" i="5"/>
  <c r="H1672" i="5"/>
  <c r="H1674" i="5"/>
  <c r="H1676" i="5"/>
  <c r="H1675" i="5"/>
  <c r="H1677" i="5"/>
  <c r="H1678" i="5"/>
  <c r="H1679" i="5"/>
  <c r="H1681" i="5"/>
  <c r="H1684" i="5"/>
  <c r="H1685" i="5"/>
  <c r="H1686" i="5"/>
  <c r="H1687" i="5"/>
  <c r="H1688" i="5"/>
  <c r="H1690" i="5"/>
  <c r="H1692" i="5"/>
  <c r="H1691" i="5"/>
  <c r="H1693" i="5"/>
  <c r="H1694" i="5"/>
  <c r="H1695" i="5"/>
  <c r="H1696" i="5"/>
  <c r="H1699" i="5"/>
  <c r="H1700" i="5"/>
  <c r="H1701" i="5"/>
  <c r="H1706" i="5"/>
  <c r="H1707" i="5"/>
  <c r="H1711" i="5"/>
  <c r="H1713" i="5"/>
  <c r="H1715" i="5"/>
  <c r="H1716" i="5"/>
  <c r="H1717" i="5"/>
  <c r="H1718" i="5"/>
  <c r="H1719" i="5"/>
  <c r="H1720" i="5"/>
  <c r="H1721" i="5"/>
  <c r="H1722" i="5"/>
  <c r="H1723" i="5"/>
  <c r="H1724" i="5"/>
  <c r="H1725" i="5"/>
  <c r="H1726" i="5"/>
  <c r="H1728" i="5"/>
  <c r="H1729" i="5"/>
  <c r="H1730" i="5"/>
  <c r="H1731" i="5"/>
  <c r="H1732" i="5"/>
  <c r="H1733" i="5"/>
  <c r="H1734" i="5"/>
  <c r="H1735" i="5"/>
  <c r="H1736" i="5"/>
  <c r="H1737" i="5"/>
  <c r="H1738" i="5"/>
  <c r="H1739" i="5"/>
  <c r="H1740" i="5"/>
  <c r="H1741" i="5"/>
  <c r="H1744" i="5"/>
  <c r="H1746" i="5"/>
  <c r="H1749" i="5"/>
  <c r="H1750" i="5"/>
  <c r="H1751" i="5"/>
  <c r="H1752" i="5"/>
  <c r="H1753" i="5"/>
  <c r="H1754" i="5"/>
  <c r="H1756" i="5"/>
  <c r="H1755" i="5"/>
  <c r="H1757" i="5"/>
  <c r="H1758" i="5"/>
  <c r="H1759" i="5"/>
  <c r="H1760" i="5"/>
  <c r="H1761" i="5"/>
  <c r="H1762" i="5"/>
  <c r="H1763" i="5"/>
  <c r="H1768" i="5"/>
  <c r="H1771" i="5"/>
  <c r="H1772" i="5"/>
  <c r="H1773" i="5"/>
  <c r="H1776" i="5"/>
  <c r="H1780" i="5"/>
  <c r="H1781" i="5"/>
  <c r="H1782" i="5"/>
  <c r="H1783" i="5"/>
  <c r="H1785" i="5"/>
  <c r="H1784" i="5"/>
  <c r="H1786" i="5"/>
  <c r="H1787" i="5"/>
  <c r="H1789" i="5"/>
  <c r="H1790" i="5"/>
  <c r="H1791" i="5"/>
  <c r="H1792" i="5"/>
  <c r="H1793" i="5"/>
  <c r="H1794" i="5"/>
  <c r="H1795" i="5"/>
  <c r="H1796" i="5"/>
  <c r="H1797" i="5"/>
  <c r="H1798" i="5"/>
  <c r="H1799" i="5"/>
  <c r="H1800" i="5"/>
  <c r="H1801" i="5"/>
  <c r="H1802" i="5"/>
  <c r="H1803" i="5"/>
  <c r="H1804" i="5"/>
  <c r="H1805" i="5"/>
  <c r="H1808" i="5"/>
  <c r="H1807" i="5"/>
  <c r="H1806" i="5"/>
  <c r="H1809" i="5"/>
  <c r="H1811" i="5"/>
  <c r="H1810" i="5"/>
  <c r="H1812" i="5"/>
  <c r="H1813" i="5"/>
  <c r="H1814" i="5"/>
  <c r="H1815" i="5"/>
  <c r="H1818" i="5"/>
  <c r="H1816" i="5"/>
  <c r="H1817" i="5"/>
  <c r="H1820" i="5"/>
  <c r="H1821" i="5"/>
  <c r="H1822" i="5"/>
  <c r="H1826" i="5"/>
  <c r="H1827" i="5"/>
  <c r="H1828" i="5"/>
  <c r="H1829" i="5"/>
  <c r="H1830" i="5"/>
  <c r="H1832" i="5"/>
  <c r="H1833" i="5"/>
  <c r="H1834" i="5"/>
  <c r="H1835" i="5"/>
  <c r="H1836" i="5"/>
  <c r="H1837" i="5"/>
  <c r="H1838" i="5"/>
  <c r="H1839" i="5"/>
  <c r="H1840" i="5"/>
  <c r="H1841" i="5"/>
  <c r="H1842" i="5"/>
  <c r="H1843" i="5"/>
  <c r="H1844" i="5"/>
  <c r="H1845" i="5"/>
  <c r="H1846" i="5"/>
  <c r="H1848" i="5"/>
  <c r="H1849" i="5"/>
  <c r="H1850" i="5"/>
  <c r="H1852" i="5"/>
  <c r="H1853" i="5"/>
  <c r="H1854" i="5"/>
  <c r="H1855" i="5"/>
  <c r="H1856" i="5"/>
  <c r="H1857" i="5"/>
  <c r="H1858" i="5"/>
  <c r="H1859" i="5"/>
  <c r="H1860" i="5"/>
  <c r="H1861" i="5"/>
  <c r="H1862" i="5"/>
  <c r="H1863" i="5"/>
  <c r="H1864" i="5"/>
  <c r="H1865" i="5"/>
  <c r="H1867" i="5"/>
  <c r="H1866" i="5"/>
  <c r="H1868" i="5"/>
  <c r="H1869" i="5"/>
  <c r="H1870" i="5"/>
  <c r="H1872" i="5"/>
  <c r="H1871" i="5"/>
  <c r="H1874" i="5"/>
  <c r="H1873" i="5"/>
  <c r="H1875" i="5"/>
  <c r="H1876" i="5"/>
  <c r="H1877" i="5"/>
  <c r="H1878" i="5"/>
  <c r="H1879" i="5"/>
  <c r="H1880" i="5"/>
  <c r="H1881" i="5"/>
  <c r="H1882" i="5"/>
  <c r="H1883" i="5"/>
  <c r="H1884" i="5"/>
  <c r="H1885" i="5"/>
  <c r="H1886" i="5"/>
  <c r="H1887" i="5"/>
  <c r="H1888" i="5"/>
  <c r="H1889" i="5"/>
  <c r="H1890" i="5"/>
  <c r="H1891" i="5"/>
  <c r="H1892" i="5"/>
  <c r="H1893" i="5"/>
  <c r="H1894" i="5"/>
  <c r="H1896" i="5"/>
  <c r="H1897" i="5"/>
  <c r="H1898" i="5"/>
  <c r="H1901" i="5"/>
  <c r="H1903" i="5"/>
  <c r="H1904" i="5"/>
  <c r="H1905" i="5"/>
  <c r="H1906" i="5"/>
  <c r="H1907" i="5"/>
  <c r="H1908" i="5"/>
  <c r="H1911" i="5"/>
  <c r="H1909" i="5"/>
  <c r="H1910" i="5"/>
  <c r="H1912" i="5"/>
  <c r="H1916" i="5"/>
  <c r="H1918" i="5"/>
  <c r="H1919" i="5"/>
  <c r="H1920" i="5"/>
  <c r="H1921" i="5"/>
  <c r="H1922" i="5"/>
  <c r="H1924" i="5"/>
  <c r="H1925" i="5"/>
  <c r="H1926" i="5"/>
  <c r="H1927" i="5"/>
  <c r="H1928" i="5"/>
  <c r="H1929" i="5"/>
  <c r="H1931" i="5"/>
  <c r="H1932" i="5"/>
  <c r="H1933" i="5"/>
  <c r="H1934" i="5"/>
  <c r="H1935" i="5"/>
  <c r="H1936" i="5"/>
  <c r="H1937" i="5"/>
  <c r="H1938" i="5"/>
  <c r="H1939" i="5"/>
  <c r="H1942" i="5"/>
  <c r="H1943" i="5"/>
  <c r="H1944" i="5"/>
  <c r="H1945" i="5"/>
  <c r="H1946" i="5"/>
  <c r="H1947" i="5"/>
  <c r="H1948" i="5"/>
  <c r="H1949" i="5"/>
  <c r="H1950" i="5"/>
  <c r="H1951" i="5"/>
  <c r="H1952" i="5"/>
  <c r="H1954" i="5"/>
  <c r="H1955" i="5"/>
  <c r="H1956" i="5"/>
  <c r="H1957" i="5"/>
  <c r="H1960" i="5"/>
  <c r="H1961" i="5"/>
  <c r="H1962" i="5"/>
  <c r="H1963" i="5"/>
  <c r="H1964" i="5"/>
  <c r="H1965" i="5"/>
  <c r="H1966" i="5"/>
  <c r="H1967" i="5"/>
  <c r="H1969" i="5"/>
  <c r="H1970" i="5"/>
  <c r="H1971" i="5"/>
  <c r="H1973" i="5"/>
  <c r="H1974" i="5"/>
  <c r="H1975" i="5"/>
  <c r="H1977" i="5"/>
  <c r="H1978" i="5"/>
  <c r="H1979" i="5"/>
  <c r="H1980" i="5"/>
  <c r="H1981" i="5"/>
  <c r="H1982" i="5"/>
  <c r="H1983" i="5"/>
  <c r="H1984" i="5"/>
  <c r="H1985" i="5"/>
  <c r="H1986" i="5"/>
  <c r="H1987" i="5"/>
  <c r="H1988" i="5"/>
  <c r="H1990" i="5"/>
  <c r="H1991" i="5"/>
  <c r="H1992" i="5"/>
  <c r="H1993" i="5"/>
  <c r="H1996" i="5"/>
  <c r="H1997" i="5"/>
  <c r="H1998" i="5"/>
  <c r="H1999" i="5"/>
  <c r="H2000" i="5"/>
  <c r="H2001" i="5"/>
  <c r="H2003" i="5"/>
  <c r="H2004" i="5"/>
  <c r="H2005" i="5"/>
  <c r="H2006" i="5"/>
  <c r="H2007" i="5"/>
  <c r="H2010" i="5"/>
  <c r="H2012" i="5"/>
  <c r="H2015" i="5"/>
  <c r="H2017" i="5"/>
  <c r="H2018" i="5"/>
  <c r="H2019" i="5"/>
  <c r="H2020" i="5"/>
  <c r="H2021" i="5"/>
  <c r="H2022" i="5"/>
  <c r="H2023" i="5"/>
  <c r="H2024" i="5"/>
  <c r="H2025" i="5"/>
  <c r="H2026" i="5"/>
  <c r="H2027" i="5"/>
  <c r="H2029" i="5"/>
  <c r="H2028" i="5"/>
  <c r="H2031" i="5"/>
  <c r="H2030" i="5"/>
  <c r="H2033" i="5"/>
  <c r="H2034" i="5"/>
  <c r="H2035" i="5"/>
  <c r="H2037" i="5"/>
  <c r="H2040" i="5"/>
  <c r="H2041" i="5"/>
  <c r="H2042" i="5"/>
  <c r="H2043" i="5"/>
  <c r="H2044" i="5"/>
  <c r="H2045" i="5"/>
  <c r="H2046" i="5"/>
  <c r="H2047" i="5"/>
  <c r="H2049" i="5"/>
  <c r="H2050" i="5"/>
  <c r="H2051" i="5"/>
  <c r="H2052" i="5"/>
  <c r="H2053" i="5"/>
  <c r="H2054" i="5"/>
  <c r="H2056" i="5"/>
  <c r="H2055" i="5"/>
  <c r="H2057" i="5"/>
  <c r="H2058" i="5"/>
  <c r="H2059" i="5"/>
  <c r="H2060" i="5"/>
  <c r="H2061" i="5"/>
  <c r="H2062" i="5"/>
  <c r="H2063" i="5"/>
  <c r="H2065" i="5"/>
  <c r="H2064" i="5"/>
  <c r="H2066" i="5"/>
  <c r="H2067" i="5"/>
  <c r="H2068" i="5"/>
  <c r="H2069" i="5"/>
  <c r="H2071" i="5"/>
  <c r="H2072" i="5"/>
  <c r="H2073" i="5"/>
  <c r="H2074" i="5"/>
  <c r="H2075" i="5"/>
  <c r="H2077" i="5"/>
  <c r="H2076" i="5"/>
  <c r="H2078" i="5"/>
  <c r="H2079" i="5"/>
  <c r="H2080" i="5"/>
  <c r="H2081" i="5"/>
  <c r="H2082" i="5"/>
  <c r="H2084" i="5"/>
  <c r="H2086" i="5"/>
  <c r="H2087" i="5"/>
  <c r="H2088" i="5"/>
  <c r="H2089" i="5"/>
  <c r="H2090" i="5"/>
  <c r="H2091" i="5"/>
  <c r="H2093" i="5"/>
  <c r="H2094" i="5"/>
  <c r="H2095" i="5"/>
  <c r="H2096" i="5"/>
  <c r="H2098" i="5"/>
  <c r="H2099" i="5"/>
  <c r="H2100" i="5"/>
  <c r="H2101" i="5"/>
  <c r="H2102" i="5"/>
  <c r="H2103" i="5"/>
  <c r="H2106" i="5"/>
  <c r="H2107" i="5"/>
  <c r="H2108" i="5"/>
  <c r="H2112" i="5"/>
  <c r="H2113" i="5"/>
  <c r="H2114" i="5"/>
  <c r="H2115" i="5"/>
  <c r="H2116" i="5"/>
  <c r="H2117" i="5"/>
  <c r="H2118" i="5"/>
  <c r="H2119" i="5"/>
  <c r="H2120" i="5"/>
  <c r="H2121" i="5"/>
  <c r="H2122" i="5"/>
  <c r="H2123" i="5"/>
  <c r="H2124" i="5"/>
  <c r="H2126" i="5"/>
  <c r="H2127" i="5"/>
  <c r="H2128" i="5"/>
  <c r="H2129" i="5"/>
  <c r="H2131" i="5"/>
  <c r="H2132" i="5"/>
  <c r="H2133" i="5"/>
  <c r="H2135" i="5"/>
  <c r="H2137" i="5"/>
  <c r="H2139" i="5"/>
  <c r="H2140" i="5"/>
  <c r="H2143" i="5"/>
  <c r="H2146" i="5"/>
  <c r="H2147" i="5"/>
  <c r="H2148" i="5"/>
  <c r="H2151" i="5"/>
  <c r="H2152" i="5"/>
  <c r="H2153" i="5"/>
  <c r="H2154" i="5"/>
  <c r="H2156" i="5"/>
  <c r="H2158" i="5"/>
  <c r="H2159" i="5"/>
  <c r="H2160" i="5"/>
  <c r="H2161" i="5"/>
  <c r="H2162" i="5"/>
  <c r="H2163" i="5"/>
  <c r="H2165" i="5"/>
  <c r="H2166" i="5"/>
  <c r="H2167" i="5"/>
  <c r="H2168" i="5"/>
  <c r="H2169" i="5"/>
  <c r="H2170" i="5"/>
  <c r="H2171" i="5"/>
  <c r="H2172" i="5"/>
  <c r="H2173" i="5"/>
  <c r="H2174" i="5"/>
  <c r="H2176" i="5"/>
  <c r="H2178" i="5"/>
  <c r="H2179" i="5"/>
  <c r="H2181" i="5"/>
  <c r="H2182" i="5"/>
  <c r="H2183" i="5"/>
  <c r="H2185" i="5"/>
  <c r="H2188" i="5"/>
  <c r="H2189" i="5"/>
  <c r="H2191" i="5"/>
  <c r="H2192" i="5"/>
  <c r="H2190" i="5"/>
  <c r="H2194" i="5"/>
  <c r="H2195" i="5"/>
  <c r="H2198" i="5"/>
  <c r="H2197" i="5"/>
  <c r="H2196" i="5"/>
  <c r="H2202" i="5"/>
  <c r="H2203" i="5"/>
  <c r="H2204" i="5"/>
  <c r="H2205" i="5"/>
  <c r="H2207" i="5"/>
  <c r="H2206" i="5"/>
  <c r="H2210" i="5"/>
  <c r="H2211" i="5"/>
  <c r="H2212" i="5"/>
  <c r="H2213" i="5"/>
  <c r="H2214" i="5"/>
  <c r="H2215" i="5"/>
  <c r="H2216" i="5"/>
  <c r="H2217" i="5"/>
  <c r="H2218" i="5"/>
  <c r="H2220" i="5"/>
  <c r="H2219" i="5"/>
  <c r="H2221" i="5"/>
  <c r="H2222" i="5"/>
  <c r="H2223" i="5"/>
  <c r="H2224" i="5"/>
  <c r="H2225" i="5"/>
  <c r="H2226" i="5"/>
  <c r="H2228" i="5"/>
  <c r="H2229" i="5"/>
  <c r="H2230" i="5"/>
  <c r="H2231" i="5"/>
  <c r="H2232" i="5"/>
  <c r="H2233" i="5"/>
  <c r="H2234" i="5"/>
  <c r="H2235" i="5"/>
  <c r="H2236" i="5"/>
  <c r="H2239" i="5"/>
  <c r="H2240"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7" i="5"/>
  <c r="H2268" i="5"/>
  <c r="H2269" i="5"/>
  <c r="H2270" i="5"/>
  <c r="H2271" i="5"/>
  <c r="H2272" i="5"/>
  <c r="H2273" i="5"/>
  <c r="H2275" i="5"/>
  <c r="H2276" i="5"/>
  <c r="H2277" i="5"/>
  <c r="H2278" i="5"/>
  <c r="H2279" i="5"/>
  <c r="H2280" i="5"/>
  <c r="H2281" i="5"/>
  <c r="H2282" i="5"/>
  <c r="H2283" i="5"/>
  <c r="H2284" i="5"/>
  <c r="H2285" i="5"/>
  <c r="H2286" i="5"/>
  <c r="H2287" i="5"/>
  <c r="H2288" i="5"/>
  <c r="H2289" i="5"/>
  <c r="H2290" i="5"/>
  <c r="H2291" i="5"/>
  <c r="H2293" i="5"/>
  <c r="H2292" i="5"/>
  <c r="H2295" i="5"/>
  <c r="H2296" i="5"/>
  <c r="H2298" i="5"/>
  <c r="H2299" i="5"/>
  <c r="H2300" i="5"/>
  <c r="H2301" i="5"/>
  <c r="H2302" i="5"/>
  <c r="H2303" i="5"/>
  <c r="H2305" i="5"/>
  <c r="H2306" i="5"/>
  <c r="H2307" i="5"/>
  <c r="H2308" i="5"/>
  <c r="H2310" i="5"/>
  <c r="H2311" i="5"/>
  <c r="H2312" i="5"/>
  <c r="H2313" i="5"/>
  <c r="H2314" i="5"/>
  <c r="H2315" i="5"/>
  <c r="H2317" i="5"/>
  <c r="H2318" i="5"/>
  <c r="H2321" i="5"/>
  <c r="H2322" i="5"/>
  <c r="H2323" i="5"/>
  <c r="H2325" i="5"/>
  <c r="H2324" i="5"/>
  <c r="H2326" i="5"/>
  <c r="H2327" i="5"/>
  <c r="H2328" i="5"/>
  <c r="H2329" i="5"/>
  <c r="H2330" i="5"/>
  <c r="H2334" i="5"/>
  <c r="H2336" i="5"/>
  <c r="H2337" i="5"/>
  <c r="H2338" i="5"/>
  <c r="H2339" i="5"/>
  <c r="H2340" i="5"/>
  <c r="H2341" i="5"/>
  <c r="H2342" i="5"/>
  <c r="H2343" i="5"/>
  <c r="H2344" i="5"/>
  <c r="H2346" i="5"/>
  <c r="H2345" i="5"/>
  <c r="H2347" i="5"/>
  <c r="H2348" i="5"/>
  <c r="H2349" i="5"/>
  <c r="H2350" i="5"/>
  <c r="H2351" i="5"/>
  <c r="H2352" i="5"/>
  <c r="H2353" i="5"/>
  <c r="H2354" i="5"/>
  <c r="H2355" i="5"/>
  <c r="H2356" i="5"/>
  <c r="H2357" i="5"/>
  <c r="H2360" i="5"/>
  <c r="H2361" i="5"/>
  <c r="H2362" i="5"/>
  <c r="H2363" i="5"/>
  <c r="H2364" i="5"/>
  <c r="H2365" i="5"/>
  <c r="H2366" i="5"/>
  <c r="H2367" i="5"/>
  <c r="H2368" i="5"/>
  <c r="H2369" i="5"/>
  <c r="H2370" i="5"/>
  <c r="H2372" i="5"/>
  <c r="H2376" i="5"/>
  <c r="H2379" i="5"/>
  <c r="H2374" i="5"/>
  <c r="H2382" i="5"/>
  <c r="H2383" i="5"/>
  <c r="H2385" i="5"/>
  <c r="H2386" i="5"/>
  <c r="H2387" i="5"/>
  <c r="H2389" i="5"/>
  <c r="H2390" i="5"/>
  <c r="H2392" i="5"/>
  <c r="H2391" i="5"/>
  <c r="H2393" i="5"/>
  <c r="H2394" i="5"/>
  <c r="H2395" i="5"/>
  <c r="H2396" i="5"/>
  <c r="H2397" i="5"/>
  <c r="H2402" i="5"/>
  <c r="H2403" i="5"/>
  <c r="H2405" i="5"/>
  <c r="H2406" i="5"/>
  <c r="H2407" i="5"/>
  <c r="H2408" i="5"/>
  <c r="H2410" i="5"/>
  <c r="H2411" i="5"/>
  <c r="H2412" i="5"/>
  <c r="H2413" i="5"/>
  <c r="H2414" i="5"/>
  <c r="H2415" i="5"/>
  <c r="H2416" i="5"/>
  <c r="H2418" i="5"/>
  <c r="H2421" i="5"/>
  <c r="H2420" i="5"/>
  <c r="H2422" i="5"/>
  <c r="H2423" i="5"/>
  <c r="H2424" i="5"/>
  <c r="H2426" i="5"/>
  <c r="H2428" i="5"/>
  <c r="H2430" i="5"/>
  <c r="H2432" i="5"/>
  <c r="H2437" i="5"/>
  <c r="H2441" i="5"/>
  <c r="H2442" i="5"/>
  <c r="H2443" i="5"/>
  <c r="H2444" i="5"/>
  <c r="H2445" i="5"/>
  <c r="H2446" i="5"/>
  <c r="H2447" i="5"/>
  <c r="H2449" i="5"/>
  <c r="H2450" i="5"/>
  <c r="H2451" i="5"/>
  <c r="H2453" i="5"/>
  <c r="H2457" i="5"/>
  <c r="H2458" i="5"/>
  <c r="H2459" i="5"/>
  <c r="H2460" i="5"/>
  <c r="H2461" i="5"/>
  <c r="H2462" i="5"/>
  <c r="H2463" i="5"/>
  <c r="H2464" i="5"/>
  <c r="H2465" i="5"/>
  <c r="H2466" i="5"/>
  <c r="H2" i="5"/>
  <c r="I125" i="5"/>
  <c r="I211" i="5"/>
  <c r="J211" i="5" s="1"/>
  <c r="S211" i="5" s="1"/>
  <c r="J1292" i="5"/>
  <c r="J1293" i="5"/>
  <c r="J1283" i="5"/>
  <c r="L641" i="5"/>
  <c r="R641" i="5"/>
  <c r="L1221" i="5"/>
  <c r="J299" i="5"/>
  <c r="J197" i="5"/>
  <c r="I478" i="5"/>
  <c r="R1562" i="5"/>
  <c r="S1562" i="5"/>
  <c r="V1562" i="5" s="1"/>
  <c r="R139" i="5"/>
  <c r="N200" i="5"/>
  <c r="O200" i="5"/>
  <c r="J991" i="5"/>
  <c r="J1553" i="5"/>
  <c r="J1637" i="5"/>
  <c r="P1637" i="5"/>
  <c r="R1637" i="5"/>
  <c r="J1678" i="5"/>
  <c r="P2024" i="5"/>
  <c r="R2024" i="5"/>
  <c r="J1218" i="5"/>
  <c r="J1226" i="5"/>
  <c r="S1226" i="5" s="1"/>
  <c r="R1939" i="5"/>
  <c r="S1939" i="5" s="1"/>
  <c r="R1482" i="5"/>
  <c r="R1730" i="5"/>
  <c r="R787" i="5"/>
  <c r="O1235" i="5"/>
  <c r="N1235" i="5"/>
  <c r="O2150" i="5"/>
  <c r="N1155" i="5"/>
  <c r="O1155" i="5"/>
  <c r="N1075" i="5"/>
  <c r="O1075" i="5"/>
  <c r="N165" i="5"/>
  <c r="O165" i="5"/>
  <c r="N2420" i="5"/>
  <c r="N2404" i="5"/>
  <c r="O2396" i="5"/>
  <c r="N2396" i="5"/>
  <c r="O2307" i="5"/>
  <c r="N2307" i="5"/>
  <c r="P2307" i="5"/>
  <c r="R2307" i="5" s="1"/>
  <c r="P2298" i="5"/>
  <c r="N2298" i="5"/>
  <c r="P2174" i="5"/>
  <c r="N1913" i="5"/>
  <c r="O1892" i="5"/>
  <c r="N1892" i="5"/>
  <c r="O1880" i="5"/>
  <c r="N1880" i="5"/>
  <c r="P1769" i="5"/>
  <c r="O1769" i="5"/>
  <c r="N1769" i="5"/>
  <c r="P1719" i="5"/>
  <c r="R1719" i="5"/>
  <c r="S1719" i="5" s="1"/>
  <c r="O1719" i="5"/>
  <c r="N1719" i="5"/>
  <c r="P1690" i="5"/>
  <c r="R1690" i="5" s="1"/>
  <c r="P1659" i="5"/>
  <c r="P1658" i="5"/>
  <c r="P1655" i="5"/>
  <c r="P1654" i="5"/>
  <c r="P1653" i="5"/>
  <c r="P1463" i="5"/>
  <c r="P1460" i="5"/>
  <c r="R1460" i="5" s="1"/>
  <c r="O1426" i="5"/>
  <c r="O1423" i="5"/>
  <c r="O1422" i="5"/>
  <c r="O1394" i="5"/>
  <c r="O1278" i="5"/>
  <c r="N1278" i="5"/>
  <c r="P1277" i="5"/>
  <c r="R1277" i="5" s="1"/>
  <c r="S1277" i="5" s="1"/>
  <c r="O1277" i="5"/>
  <c r="P1201" i="5"/>
  <c r="O1201" i="5"/>
  <c r="N1201" i="5"/>
  <c r="P1144" i="5"/>
  <c r="O1144" i="5"/>
  <c r="N1144" i="5"/>
  <c r="O1138" i="5"/>
  <c r="N1138" i="5"/>
  <c r="O1135" i="5"/>
  <c r="N1135" i="5"/>
  <c r="O1121" i="5"/>
  <c r="P1112" i="5"/>
  <c r="O1112" i="5"/>
  <c r="N1112" i="5"/>
  <c r="J851" i="5"/>
  <c r="S851" i="5"/>
  <c r="P249" i="5"/>
  <c r="O249" i="5"/>
  <c r="N249" i="5"/>
  <c r="T166" i="5"/>
  <c r="V166" i="5" s="1"/>
  <c r="K1626" i="5"/>
  <c r="T2448" i="5"/>
  <c r="U2448" i="5" s="1"/>
  <c r="T2445" i="5"/>
  <c r="U2445" i="5" s="1"/>
  <c r="T2449" i="5"/>
  <c r="U2449" i="5" s="1"/>
  <c r="T2342" i="5"/>
  <c r="V2342" i="5" s="1"/>
  <c r="T2332" i="5"/>
  <c r="U2332" i="5"/>
  <c r="T2452" i="5"/>
  <c r="U2452" i="5" s="1"/>
  <c r="T2402" i="5"/>
  <c r="U2402" i="5"/>
  <c r="T2325" i="5"/>
  <c r="V2325" i="5" s="1"/>
  <c r="T2319" i="5"/>
  <c r="U2319" i="5" s="1"/>
  <c r="T2317" i="5"/>
  <c r="U2317" i="5" s="1"/>
  <c r="T1898" i="5"/>
  <c r="U1898" i="5" s="1"/>
  <c r="T2368" i="5"/>
  <c r="U2368" i="5" s="1"/>
  <c r="T2371" i="5"/>
  <c r="U2371" i="5"/>
  <c r="T2358" i="5"/>
  <c r="V2358" i="5" s="1"/>
  <c r="T2315" i="5"/>
  <c r="V2315" i="5"/>
  <c r="T2307" i="5"/>
  <c r="U2307" i="5" s="1"/>
  <c r="T2305" i="5"/>
  <c r="U2305" i="5" s="1"/>
  <c r="T2304" i="5"/>
  <c r="U2304" i="5" s="1"/>
  <c r="T2277" i="5"/>
  <c r="V2277" i="5" s="1"/>
  <c r="T2279" i="5"/>
  <c r="U2279" i="5" s="1"/>
  <c r="T2251" i="5"/>
  <c r="U2251" i="5"/>
  <c r="T2255" i="5"/>
  <c r="U2255" i="5" s="1"/>
  <c r="T2243" i="5"/>
  <c r="U2243" i="5"/>
  <c r="T2253" i="5"/>
  <c r="U2253" i="5" s="1"/>
  <c r="T2252" i="5"/>
  <c r="U2252" i="5" s="1"/>
  <c r="T2215" i="5"/>
  <c r="U2215" i="5" s="1"/>
  <c r="T2216" i="5"/>
  <c r="U2216" i="5" s="1"/>
  <c r="T2222" i="5"/>
  <c r="V2222" i="5" s="1"/>
  <c r="T2211" i="5"/>
  <c r="U2211" i="5"/>
  <c r="T2210" i="5"/>
  <c r="U2210" i="5" s="1"/>
  <c r="T2209" i="5"/>
  <c r="V2209" i="5"/>
  <c r="T2207" i="5"/>
  <c r="U2207" i="5" s="1"/>
  <c r="T2201" i="5"/>
  <c r="V2201" i="5" s="1"/>
  <c r="T2162" i="5"/>
  <c r="V2162" i="5" s="1"/>
  <c r="T2161" i="5"/>
  <c r="V2161" i="5" s="1"/>
  <c r="T2160" i="5"/>
  <c r="U2160" i="5" s="1"/>
  <c r="T2148" i="5"/>
  <c r="U2148" i="5"/>
  <c r="T2045" i="5"/>
  <c r="U2045" i="5" s="1"/>
  <c r="T2023" i="5"/>
  <c r="U2023" i="5"/>
  <c r="T2009" i="5"/>
  <c r="U2009" i="5" s="1"/>
  <c r="T1983" i="5"/>
  <c r="U1983" i="5" s="1"/>
  <c r="T1970" i="5"/>
  <c r="U1970" i="5" s="1"/>
  <c r="T1957" i="5"/>
  <c r="U1957" i="5" s="1"/>
  <c r="T1948" i="5"/>
  <c r="U1948" i="5" s="1"/>
  <c r="T1929" i="5"/>
  <c r="V1929" i="5"/>
  <c r="T1920" i="5"/>
  <c r="V1920" i="5" s="1"/>
  <c r="T1917" i="5"/>
  <c r="U1917" i="5"/>
  <c r="T1912" i="5"/>
  <c r="U1912" i="5" s="1"/>
  <c r="T1905" i="5"/>
  <c r="V1905" i="5" s="1"/>
  <c r="T1897" i="5"/>
  <c r="V1897" i="5" s="1"/>
  <c r="T1883" i="5"/>
  <c r="V1883" i="5" s="1"/>
  <c r="T1882" i="5"/>
  <c r="V1882" i="5" s="1"/>
  <c r="T1880" i="5"/>
  <c r="V1880" i="5"/>
  <c r="T1877" i="5"/>
  <c r="V1877" i="5" s="1"/>
  <c r="T1876" i="5"/>
  <c r="V1876" i="5"/>
  <c r="T1864" i="5"/>
  <c r="U1864" i="5" s="1"/>
  <c r="T1765" i="5"/>
  <c r="V1765" i="5" s="1"/>
  <c r="T1764" i="5"/>
  <c r="U1764" i="5" s="1"/>
  <c r="T1763" i="5"/>
  <c r="U1763" i="5" s="1"/>
  <c r="T1720" i="5"/>
  <c r="U1720" i="5" s="1"/>
  <c r="T1713" i="5"/>
  <c r="U1713" i="5"/>
  <c r="T1680" i="5"/>
  <c r="V1680" i="5" s="1"/>
  <c r="T1677" i="5"/>
  <c r="V1677" i="5"/>
  <c r="T1676" i="5"/>
  <c r="U1676" i="5" s="1"/>
  <c r="T1668" i="5"/>
  <c r="V1668" i="5" s="1"/>
  <c r="T1634" i="5"/>
  <c r="U1634" i="5" s="1"/>
  <c r="T1615" i="5"/>
  <c r="V1615" i="5" s="1"/>
  <c r="T1606" i="5"/>
  <c r="U1606" i="5" s="1"/>
  <c r="T1601" i="5"/>
  <c r="U1601" i="5"/>
  <c r="T1589" i="5"/>
  <c r="V1589" i="5" s="1"/>
  <c r="T1586" i="5"/>
  <c r="U1586" i="5"/>
  <c r="T1558" i="5"/>
  <c r="U1558" i="5" s="1"/>
  <c r="T1556" i="5"/>
  <c r="U1556" i="5" s="1"/>
  <c r="T1548" i="5"/>
  <c r="U1548" i="5" s="1"/>
  <c r="T1547" i="5"/>
  <c r="U1547" i="5" s="1"/>
  <c r="T1555" i="5"/>
  <c r="U1555" i="5" s="1"/>
  <c r="T1525" i="5"/>
  <c r="V1525" i="5"/>
  <c r="T1524" i="5"/>
  <c r="V1524" i="5" s="1"/>
  <c r="T1526" i="5"/>
  <c r="V1526" i="5"/>
  <c r="T1504" i="5"/>
  <c r="V1504" i="5" s="1"/>
  <c r="T1480" i="5"/>
  <c r="U1480" i="5" s="1"/>
  <c r="T1461" i="5"/>
  <c r="V1461" i="5" s="1"/>
  <c r="T1434" i="5"/>
  <c r="U1434" i="5" s="1"/>
  <c r="T1397" i="5"/>
  <c r="V1397" i="5" s="1"/>
  <c r="T1394" i="5"/>
  <c r="V1394" i="5"/>
  <c r="T1376" i="5"/>
  <c r="V1376" i="5" s="1"/>
  <c r="T1373" i="5"/>
  <c r="U1373" i="5"/>
  <c r="T1329" i="5"/>
  <c r="V1329" i="5" s="1"/>
  <c r="T1300" i="5"/>
  <c r="V1300" i="5" s="1"/>
  <c r="T1288" i="5"/>
  <c r="V1288" i="5" s="1"/>
  <c r="T1283" i="5"/>
  <c r="U1283" i="5" s="1"/>
  <c r="T1282" i="5"/>
  <c r="U1282" i="5" s="1"/>
  <c r="T1275" i="5"/>
  <c r="U1275" i="5"/>
  <c r="T1252" i="5"/>
  <c r="V1252" i="5" s="1"/>
  <c r="T1247" i="5"/>
  <c r="U1247" i="5"/>
  <c r="T1240" i="5"/>
  <c r="U1240" i="5" s="1"/>
  <c r="T1237" i="5"/>
  <c r="V1237" i="5" s="1"/>
  <c r="T1236" i="5"/>
  <c r="V1236" i="5" s="1"/>
  <c r="T1231" i="5"/>
  <c r="U1231" i="5" s="1"/>
  <c r="T1233" i="5"/>
  <c r="U1233" i="5" s="1"/>
  <c r="T1209" i="5"/>
  <c r="V1209" i="5"/>
  <c r="T1197" i="5"/>
  <c r="V1197" i="5" s="1"/>
  <c r="T1176" i="5"/>
  <c r="V1176" i="5"/>
  <c r="T1132" i="5"/>
  <c r="U1132" i="5" s="1"/>
  <c r="T1101" i="5"/>
  <c r="U1101" i="5" s="1"/>
  <c r="T1083" i="5"/>
  <c r="V1083" i="5" s="1"/>
  <c r="T1077" i="5"/>
  <c r="V1077" i="5" s="1"/>
  <c r="T1069" i="5"/>
  <c r="U1069" i="5" s="1"/>
  <c r="T1057" i="5"/>
  <c r="U1057" i="5"/>
  <c r="T1042" i="5"/>
  <c r="U1042" i="5" s="1"/>
  <c r="T987" i="5"/>
  <c r="U987" i="5"/>
  <c r="T989" i="5"/>
  <c r="U989" i="5" s="1"/>
  <c r="T982" i="5"/>
  <c r="V982" i="5" s="1"/>
  <c r="T931" i="5"/>
  <c r="U931" i="5" s="1"/>
  <c r="T927" i="5"/>
  <c r="U927" i="5" s="1"/>
  <c r="T902" i="5"/>
  <c r="U902" i="5" s="1"/>
  <c r="T898" i="5"/>
  <c r="U898" i="5"/>
  <c r="T903" i="5"/>
  <c r="U903" i="5" s="1"/>
  <c r="T868" i="5"/>
  <c r="V868" i="5"/>
  <c r="T845" i="5"/>
  <c r="U845" i="5" s="1"/>
  <c r="T844" i="5"/>
  <c r="U844" i="5" s="1"/>
  <c r="T783" i="5"/>
  <c r="U783" i="5" s="1"/>
  <c r="T752" i="5"/>
  <c r="U752" i="5" s="1"/>
  <c r="T745" i="5"/>
  <c r="U745" i="5" s="1"/>
  <c r="T741" i="5"/>
  <c r="U741" i="5"/>
  <c r="T738" i="5"/>
  <c r="U738" i="5" s="1"/>
  <c r="T722" i="5"/>
  <c r="V722" i="5"/>
  <c r="T701" i="5"/>
  <c r="U701" i="5" s="1"/>
  <c r="T625" i="5"/>
  <c r="U625" i="5" s="1"/>
  <c r="T554" i="5"/>
  <c r="V554" i="5" s="1"/>
  <c r="T526" i="5"/>
  <c r="U526" i="5" s="1"/>
  <c r="T516" i="5"/>
  <c r="U516" i="5" s="1"/>
  <c r="T499" i="5"/>
  <c r="U499" i="5"/>
  <c r="T491" i="5"/>
  <c r="V491" i="5" s="1"/>
  <c r="T492" i="5"/>
  <c r="V492" i="5"/>
  <c r="T452" i="5"/>
  <c r="U452" i="5" s="1"/>
  <c r="T392" i="5"/>
  <c r="U392" i="5" s="1"/>
  <c r="T360" i="5"/>
  <c r="U360" i="5" s="1"/>
  <c r="T333" i="5"/>
  <c r="U333" i="5" s="1"/>
  <c r="T313" i="5"/>
  <c r="U313" i="5" s="1"/>
  <c r="T274" i="5"/>
  <c r="V274" i="5"/>
  <c r="T215" i="5"/>
  <c r="U215" i="5" s="1"/>
  <c r="T165" i="5"/>
  <c r="U165" i="5"/>
  <c r="T134" i="5"/>
  <c r="V134" i="5" s="1"/>
  <c r="T144" i="5"/>
  <c r="V144" i="5" s="1"/>
  <c r="T112" i="5"/>
  <c r="U112" i="5" s="1"/>
  <c r="T93" i="5"/>
  <c r="U93" i="5" s="1"/>
  <c r="T81" i="5"/>
  <c r="V81" i="5" s="1"/>
  <c r="T59" i="5"/>
  <c r="U59" i="5"/>
  <c r="P1634" i="5"/>
  <c r="O1635" i="5"/>
  <c r="O1634" i="5"/>
  <c r="N1635" i="5"/>
  <c r="N1634" i="5"/>
  <c r="N1199" i="5"/>
  <c r="S1199" i="5"/>
  <c r="R1199" i="5"/>
  <c r="P1199" i="5"/>
  <c r="R989" i="5"/>
  <c r="O926" i="5"/>
  <c r="N926" i="5"/>
  <c r="P926" i="5"/>
  <c r="R926" i="5" s="1"/>
  <c r="S926" i="5" s="1"/>
  <c r="T694" i="5"/>
  <c r="U694" i="5"/>
  <c r="G627" i="5"/>
  <c r="H627" i="5"/>
  <c r="G640" i="5"/>
  <c r="H640" i="5" s="1"/>
  <c r="G641" i="5"/>
  <c r="H641" i="5"/>
  <c r="O641" i="5"/>
  <c r="O640" i="5"/>
  <c r="N641" i="5"/>
  <c r="N640" i="5"/>
  <c r="P635" i="5"/>
  <c r="R635" i="5"/>
  <c r="S635" i="5" s="1"/>
  <c r="O635" i="5"/>
  <c r="N635" i="5"/>
  <c r="O71" i="5"/>
  <c r="N71" i="5"/>
  <c r="P63" i="5"/>
  <c r="N51" i="5"/>
  <c r="P20" i="5"/>
  <c r="N101" i="5"/>
  <c r="K37" i="5"/>
  <c r="K44" i="5"/>
  <c r="K51" i="5"/>
  <c r="K106" i="5"/>
  <c r="K112" i="5"/>
  <c r="K139" i="5"/>
  <c r="K151" i="5"/>
  <c r="K170" i="5"/>
  <c r="K182" i="5"/>
  <c r="K199" i="5"/>
  <c r="K225" i="5"/>
  <c r="K264" i="5"/>
  <c r="K318" i="5"/>
  <c r="K355" i="5"/>
  <c r="K388" i="5"/>
  <c r="K391" i="5"/>
  <c r="K434" i="5"/>
  <c r="K490" i="5"/>
  <c r="K499" i="5"/>
  <c r="K517" i="5"/>
  <c r="K523" i="5"/>
  <c r="K522" i="5"/>
  <c r="K521" i="5"/>
  <c r="K623" i="5"/>
  <c r="K626" i="5"/>
  <c r="K627" i="5"/>
  <c r="K629" i="5"/>
  <c r="K712" i="5"/>
  <c r="K722" i="5"/>
  <c r="K729" i="5"/>
  <c r="K804" i="5"/>
  <c r="K818" i="5"/>
  <c r="K819" i="5"/>
  <c r="K956" i="5"/>
  <c r="K992" i="5"/>
  <c r="K993" i="5"/>
  <c r="K1051" i="5"/>
  <c r="K1042" i="5"/>
  <c r="K1072" i="5"/>
  <c r="K1090" i="5"/>
  <c r="K1094" i="5"/>
  <c r="K1197" i="5"/>
  <c r="K1241" i="5"/>
  <c r="K1256" i="5"/>
  <c r="K1259" i="5"/>
  <c r="K1296" i="5"/>
  <c r="K1364" i="5"/>
  <c r="K1416" i="5"/>
  <c r="K1442" i="5"/>
  <c r="K1461" i="5"/>
  <c r="K1463" i="5"/>
  <c r="K1474" i="5"/>
  <c r="K1475" i="5"/>
  <c r="K1480" i="5"/>
  <c r="K1485" i="5"/>
  <c r="K1504" i="5"/>
  <c r="K1545" i="5"/>
  <c r="K1637" i="5"/>
  <c r="K1641" i="5"/>
  <c r="K2452" i="5"/>
  <c r="K2449" i="5"/>
  <c r="K2414" i="5"/>
  <c r="K2373" i="5"/>
  <c r="K2359" i="5"/>
  <c r="K2234" i="5"/>
  <c r="K2278" i="5"/>
  <c r="K2305" i="5"/>
  <c r="K2287" i="5"/>
  <c r="K2253" i="5"/>
  <c r="K2248" i="5"/>
  <c r="K2246" i="5"/>
  <c r="K2209" i="5"/>
  <c r="K2208" i="5"/>
  <c r="K2201" i="5"/>
  <c r="K2200" i="5"/>
  <c r="K2181" i="5"/>
  <c r="K2157" i="5"/>
  <c r="K2076" i="5"/>
  <c r="K2077" i="5"/>
  <c r="K2062" i="5"/>
  <c r="K2053" i="5"/>
  <c r="K2046" i="5"/>
  <c r="K2045" i="5"/>
  <c r="K2040" i="5"/>
  <c r="K1997" i="5"/>
  <c r="I1971" i="5"/>
  <c r="J1971" i="5"/>
  <c r="K1944" i="5"/>
  <c r="K1940" i="5"/>
  <c r="K1890" i="5"/>
  <c r="K1889" i="5"/>
  <c r="K1883" i="5"/>
  <c r="K1880" i="5"/>
  <c r="K1865" i="5"/>
  <c r="K1847" i="5"/>
  <c r="K1823" i="5"/>
  <c r="K1788" i="5"/>
  <c r="K1765" i="5"/>
  <c r="K1711" i="5"/>
  <c r="K1672" i="5"/>
  <c r="K1621" i="5"/>
  <c r="K1613" i="5"/>
  <c r="K1590" i="5"/>
  <c r="K1585" i="5"/>
  <c r="K1581" i="5"/>
  <c r="K1578" i="5"/>
  <c r="I467" i="5"/>
  <c r="J467" i="5" s="1"/>
  <c r="J184" i="5"/>
  <c r="T2408" i="5"/>
  <c r="U2408" i="5" s="1"/>
  <c r="L2449" i="5"/>
  <c r="L2430" i="5"/>
  <c r="R2430" i="5" s="1"/>
  <c r="L2404" i="5"/>
  <c r="L2380" i="5"/>
  <c r="L2322" i="5"/>
  <c r="L2321" i="5"/>
  <c r="L2306" i="5"/>
  <c r="L2304" i="5"/>
  <c r="L2298" i="5"/>
  <c r="L2296" i="5"/>
  <c r="L2243" i="5"/>
  <c r="L2193" i="5"/>
  <c r="L2189" i="5"/>
  <c r="L2179" i="5"/>
  <c r="R2179" i="5" s="1"/>
  <c r="L2171" i="5"/>
  <c r="L2167" i="5"/>
  <c r="R2167" i="5" s="1"/>
  <c r="L2155" i="5"/>
  <c r="L2150" i="5"/>
  <c r="L2148" i="5"/>
  <c r="L2140" i="5"/>
  <c r="L2112" i="5"/>
  <c r="R2112" i="5" s="1"/>
  <c r="L2111" i="5"/>
  <c r="L2107" i="5"/>
  <c r="L2105" i="5"/>
  <c r="L2103" i="5"/>
  <c r="L2099" i="5"/>
  <c r="R2099" i="5"/>
  <c r="L2098" i="5"/>
  <c r="L2043" i="5"/>
  <c r="L2002" i="5"/>
  <c r="L2004" i="5"/>
  <c r="L1997" i="5"/>
  <c r="L1940" i="5"/>
  <c r="R1940" i="5"/>
  <c r="L1938" i="5"/>
  <c r="R1938" i="5"/>
  <c r="L1931" i="5"/>
  <c r="L1930" i="5"/>
  <c r="L1928" i="5"/>
  <c r="L1916" i="5"/>
  <c r="R1916" i="5" s="1"/>
  <c r="L1913" i="5"/>
  <c r="L1912" i="5"/>
  <c r="L1906" i="5"/>
  <c r="L1864" i="5"/>
  <c r="L1751" i="5"/>
  <c r="L1721" i="5"/>
  <c r="L1713" i="5"/>
  <c r="L1666" i="5"/>
  <c r="L1635" i="5"/>
  <c r="L1634" i="5"/>
  <c r="L1612" i="5"/>
  <c r="L1606" i="5"/>
  <c r="L1560" i="5"/>
  <c r="L1558" i="5"/>
  <c r="L1539" i="5"/>
  <c r="L1535" i="5"/>
  <c r="L1531" i="5"/>
  <c r="R1531" i="5"/>
  <c r="L1474" i="5"/>
  <c r="R1474" i="5" s="1"/>
  <c r="L1463" i="5"/>
  <c r="L1426" i="5"/>
  <c r="L1422" i="5"/>
  <c r="L1410" i="5"/>
  <c r="L1392" i="5"/>
  <c r="L1379" i="5"/>
  <c r="L1370" i="5"/>
  <c r="R1370" i="5" s="1"/>
  <c r="S1370" i="5" s="1"/>
  <c r="V1370" i="5" s="1"/>
  <c r="L1360" i="5"/>
  <c r="L1356" i="5"/>
  <c r="L1340" i="5"/>
  <c r="L1335" i="5"/>
  <c r="R1335" i="5"/>
  <c r="L1298" i="5"/>
  <c r="R1298" i="5" s="1"/>
  <c r="L1305" i="5"/>
  <c r="R1305" i="5"/>
  <c r="L1282" i="5"/>
  <c r="R1282" i="5"/>
  <c r="L1278" i="5"/>
  <c r="L1268" i="5"/>
  <c r="R1268" i="5" s="1"/>
  <c r="L1241" i="5"/>
  <c r="L1238" i="5"/>
  <c r="L1235" i="5"/>
  <c r="L1233" i="5"/>
  <c r="R1233" i="5"/>
  <c r="L1183" i="5"/>
  <c r="R1183" i="5"/>
  <c r="L1201" i="5"/>
  <c r="L1194" i="5"/>
  <c r="L1181" i="5"/>
  <c r="R1161" i="5"/>
  <c r="L1156" i="5"/>
  <c r="R1156" i="5"/>
  <c r="L1155" i="5"/>
  <c r="L1148" i="5"/>
  <c r="R1148" i="5" s="1"/>
  <c r="L1144" i="5"/>
  <c r="L1138" i="5"/>
  <c r="R1138" i="5"/>
  <c r="L1135" i="5"/>
  <c r="L1129" i="5"/>
  <c r="L1128" i="5"/>
  <c r="L1121" i="5"/>
  <c r="L1109" i="5"/>
  <c r="L1107" i="5"/>
  <c r="L1106" i="5"/>
  <c r="R1106" i="5"/>
  <c r="L1097" i="5"/>
  <c r="R1097" i="5"/>
  <c r="L1093" i="5"/>
  <c r="R1093" i="5"/>
  <c r="L1086" i="5"/>
  <c r="L1085" i="5"/>
  <c r="L1075" i="5"/>
  <c r="L1069" i="5"/>
  <c r="L1068" i="5"/>
  <c r="L1065" i="5"/>
  <c r="L1064" i="5"/>
  <c r="L1042" i="5"/>
  <c r="L1041" i="5"/>
  <c r="R1041" i="5" s="1"/>
  <c r="L1021" i="5"/>
  <c r="L1003" i="5"/>
  <c r="R1003" i="5" s="1"/>
  <c r="L1004" i="5"/>
  <c r="R1004" i="5" s="1"/>
  <c r="L993" i="5"/>
  <c r="R993" i="5" s="1"/>
  <c r="S993" i="5" s="1"/>
  <c r="V993" i="5" s="1"/>
  <c r="L992" i="5"/>
  <c r="L989" i="5"/>
  <c r="L903" i="5"/>
  <c r="R903" i="5" s="1"/>
  <c r="S903" i="5" s="1"/>
  <c r="V903" i="5" s="1"/>
  <c r="L812" i="5"/>
  <c r="L864" i="5"/>
  <c r="L890" i="5"/>
  <c r="L626" i="5"/>
  <c r="L562" i="5"/>
  <c r="R562" i="5" s="1"/>
  <c r="L359" i="5"/>
  <c r="L264" i="5"/>
  <c r="R264" i="5"/>
  <c r="L246" i="5"/>
  <c r="L226" i="5"/>
  <c r="L215" i="5"/>
  <c r="L211" i="5"/>
  <c r="L200" i="5"/>
  <c r="L185" i="5"/>
  <c r="L174" i="5"/>
  <c r="L165" i="5"/>
  <c r="L157" i="5"/>
  <c r="L127" i="5"/>
  <c r="L63" i="5"/>
  <c r="L15" i="5"/>
  <c r="R474" i="5"/>
  <c r="S474" i="5"/>
  <c r="V474" i="5" s="1"/>
  <c r="R2461" i="5"/>
  <c r="S2461" i="5" s="1"/>
  <c r="P1455" i="5"/>
  <c r="P1454" i="5"/>
  <c r="P1449" i="5"/>
  <c r="R1449" i="5"/>
  <c r="P26" i="5"/>
  <c r="R26" i="5" s="1"/>
  <c r="I816" i="5"/>
  <c r="I731" i="5"/>
  <c r="I714" i="5"/>
  <c r="J699" i="5"/>
  <c r="I635" i="5"/>
  <c r="J1270" i="5"/>
  <c r="J1266" i="5"/>
  <c r="S1266" i="5" s="1"/>
  <c r="V1266" i="5" s="1"/>
  <c r="J1264" i="5"/>
  <c r="J1265" i="5"/>
  <c r="J1263" i="5"/>
  <c r="R730" i="5"/>
  <c r="V714" i="5"/>
  <c r="P1921" i="5"/>
  <c r="R1921" i="5" s="1"/>
  <c r="S1921" i="5" s="1"/>
  <c r="P1911" i="5"/>
  <c r="R1911" i="5"/>
  <c r="S1911" i="5" s="1"/>
  <c r="V1911" i="5" s="1"/>
  <c r="P1909" i="5"/>
  <c r="R1909" i="5" s="1"/>
  <c r="S1909" i="5" s="1"/>
  <c r="V1909" i="5" s="1"/>
  <c r="P1910" i="5"/>
  <c r="R1910" i="5" s="1"/>
  <c r="S1910" i="5" s="1"/>
  <c r="V1910" i="5" s="1"/>
  <c r="P1917" i="5"/>
  <c r="R1917" i="5"/>
  <c r="J1146" i="5"/>
  <c r="J1150" i="5"/>
  <c r="J1160" i="5"/>
  <c r="J1157" i="5"/>
  <c r="J1154" i="5"/>
  <c r="J1158" i="5"/>
  <c r="R2390" i="5"/>
  <c r="P2216" i="5"/>
  <c r="R2216" i="5"/>
  <c r="S2216" i="5" s="1"/>
  <c r="V2216" i="5" s="1"/>
  <c r="P1894" i="5"/>
  <c r="R1894" i="5" s="1"/>
  <c r="S1894" i="5" s="1"/>
  <c r="R1700" i="5"/>
  <c r="R2421" i="5"/>
  <c r="S2421" i="5"/>
  <c r="P1599" i="5"/>
  <c r="P1456" i="5"/>
  <c r="R1456" i="5"/>
  <c r="J1456" i="5"/>
  <c r="P1158" i="5"/>
  <c r="R1158" i="5" s="1"/>
  <c r="S1158" i="5" s="1"/>
  <c r="P1192" i="5"/>
  <c r="R1192" i="5" s="1"/>
  <c r="P1447" i="5"/>
  <c r="R1447" i="5" s="1"/>
  <c r="S1447" i="5" s="1"/>
  <c r="J1369" i="5"/>
  <c r="S1369" i="5"/>
  <c r="R178" i="5"/>
  <c r="S178" i="5"/>
  <c r="J1193" i="5"/>
  <c r="P1507" i="5"/>
  <c r="P2358" i="5"/>
  <c r="P2350" i="5"/>
  <c r="P2295" i="5"/>
  <c r="P2256" i="5"/>
  <c r="P2226" i="5"/>
  <c r="P2217" i="5"/>
  <c r="R2217" i="5" s="1"/>
  <c r="S2217" i="5" s="1"/>
  <c r="P2205" i="5"/>
  <c r="P2138" i="5"/>
  <c r="P1918" i="5"/>
  <c r="P1711" i="5"/>
  <c r="P1683" i="5"/>
  <c r="P1665" i="5"/>
  <c r="P1640" i="5"/>
  <c r="P1639" i="5"/>
  <c r="P1628" i="5"/>
  <c r="P1623" i="5"/>
  <c r="P1618" i="5"/>
  <c r="P1612" i="5"/>
  <c r="P1610" i="5"/>
  <c r="P1597" i="5"/>
  <c r="P1594" i="5"/>
  <c r="P1591" i="5"/>
  <c r="P1589" i="5"/>
  <c r="P1565" i="5"/>
  <c r="N1565" i="5" s="1"/>
  <c r="P1561" i="5"/>
  <c r="P1550" i="5"/>
  <c r="P1555" i="5"/>
  <c r="R1555" i="5"/>
  <c r="P1532" i="5"/>
  <c r="P1521" i="5"/>
  <c r="P1508" i="5"/>
  <c r="P1509" i="5"/>
  <c r="P1500" i="5"/>
  <c r="P1492" i="5"/>
  <c r="P1487" i="5"/>
  <c r="P1475" i="5"/>
  <c r="P1471" i="5"/>
  <c r="P1468" i="5"/>
  <c r="P1458" i="5"/>
  <c r="P1457" i="5"/>
  <c r="P1380" i="5"/>
  <c r="P1368" i="5"/>
  <c r="P1098" i="5"/>
  <c r="P924" i="5"/>
  <c r="P852" i="5"/>
  <c r="P812" i="5"/>
  <c r="P791" i="5"/>
  <c r="P775" i="5"/>
  <c r="P719" i="5"/>
  <c r="P738" i="5"/>
  <c r="P734" i="5"/>
  <c r="P699" i="5"/>
  <c r="P685" i="5"/>
  <c r="P569" i="5"/>
  <c r="P512" i="5"/>
  <c r="P201" i="5"/>
  <c r="P81" i="5"/>
  <c r="P49" i="5"/>
  <c r="R1787" i="5"/>
  <c r="S1787" i="5"/>
  <c r="S1780" i="5"/>
  <c r="P2275" i="5"/>
  <c r="P1726" i="5"/>
  <c r="R1726" i="5"/>
  <c r="P1924" i="5"/>
  <c r="R1924" i="5" s="1"/>
  <c r="S1924" i="5" s="1"/>
  <c r="V1924" i="5" s="1"/>
  <c r="J1924" i="5"/>
  <c r="P2341" i="5"/>
  <c r="R2341" i="5"/>
  <c r="J2341" i="5"/>
  <c r="S32" i="5"/>
  <c r="I2174" i="5"/>
  <c r="I1196" i="5"/>
  <c r="J1191" i="5"/>
  <c r="J1194" i="5"/>
  <c r="J1223" i="5"/>
  <c r="S1223" i="5"/>
  <c r="J1917" i="5"/>
  <c r="J1483" i="5"/>
  <c r="P1736" i="5"/>
  <c r="P1819" i="5"/>
  <c r="R1819" i="5" s="1"/>
  <c r="P2189" i="5"/>
  <c r="P2026" i="5"/>
  <c r="P2012" i="5"/>
  <c r="R2012" i="5" s="1"/>
  <c r="P1793" i="5"/>
  <c r="P1590" i="5"/>
  <c r="N721" i="5"/>
  <c r="O721" i="5"/>
  <c r="P618" i="5"/>
  <c r="R618" i="5"/>
  <c r="J618" i="5"/>
  <c r="R516" i="5"/>
  <c r="P516" i="5"/>
  <c r="P462" i="5"/>
  <c r="P375" i="5"/>
  <c r="R375" i="5" s="1"/>
  <c r="P77" i="5"/>
  <c r="J2448" i="5"/>
  <c r="J2462" i="5"/>
  <c r="I2217" i="5"/>
  <c r="I2216" i="5"/>
  <c r="J2189" i="5"/>
  <c r="S2189" i="5"/>
  <c r="V2189" i="5" s="1"/>
  <c r="J2143" i="5"/>
  <c r="J2095" i="5"/>
  <c r="J2083" i="5"/>
  <c r="S2083" i="5" s="1"/>
  <c r="V2083" i="5" s="1"/>
  <c r="I2082" i="5"/>
  <c r="J2082" i="5" s="1"/>
  <c r="J2080" i="5"/>
  <c r="J2079" i="5"/>
  <c r="J2076" i="5"/>
  <c r="S2076" i="5"/>
  <c r="J2077" i="5"/>
  <c r="S2077" i="5"/>
  <c r="J2075" i="5"/>
  <c r="J2074" i="5"/>
  <c r="S2074" i="5" s="1"/>
  <c r="J2073" i="5"/>
  <c r="S2073" i="5"/>
  <c r="I2069" i="5"/>
  <c r="J2069" i="5" s="1"/>
  <c r="J2068" i="5"/>
  <c r="J2067" i="5"/>
  <c r="S2067" i="5" s="1"/>
  <c r="V2067" i="5" s="1"/>
  <c r="J2064" i="5"/>
  <c r="J2065" i="5"/>
  <c r="J2062" i="5"/>
  <c r="J2061" i="5"/>
  <c r="J2057" i="5"/>
  <c r="J2055" i="5"/>
  <c r="J2045" i="5"/>
  <c r="S2045" i="5" s="1"/>
  <c r="V2045" i="5" s="1"/>
  <c r="J2044" i="5"/>
  <c r="J2042" i="5"/>
  <c r="I2005" i="5"/>
  <c r="J1992" i="5"/>
  <c r="S1992" i="5"/>
  <c r="J1863" i="5"/>
  <c r="J1837" i="5"/>
  <c r="J1801" i="5"/>
  <c r="S1801" i="5"/>
  <c r="J1793" i="5"/>
  <c r="J1715" i="5"/>
  <c r="S1715" i="5" s="1"/>
  <c r="I1695" i="5"/>
  <c r="J1695" i="5" s="1"/>
  <c r="I1598" i="5"/>
  <c r="J1598" i="5" s="1"/>
  <c r="J1595" i="5"/>
  <c r="S1595" i="5"/>
  <c r="J1593" i="5"/>
  <c r="S1590" i="5" s="1"/>
  <c r="J1581" i="5"/>
  <c r="S1581" i="5"/>
  <c r="V1581" i="5" s="1"/>
  <c r="J1528" i="5"/>
  <c r="S1528" i="5"/>
  <c r="J1520" i="5"/>
  <c r="J1518" i="5"/>
  <c r="J1519" i="5"/>
  <c r="J1481" i="5"/>
  <c r="J1461" i="5"/>
  <c r="J1459" i="5"/>
  <c r="J1444" i="5"/>
  <c r="J1443" i="5"/>
  <c r="J1416" i="5"/>
  <c r="S1416" i="5"/>
  <c r="J1413" i="5"/>
  <c r="J1414" i="5"/>
  <c r="J1409" i="5"/>
  <c r="J1411" i="5"/>
  <c r="J1415" i="5"/>
  <c r="S1415" i="5"/>
  <c r="I1407" i="5"/>
  <c r="J1401" i="5"/>
  <c r="S1401" i="5" s="1"/>
  <c r="J1396" i="5"/>
  <c r="J1399" i="5"/>
  <c r="J1390" i="5"/>
  <c r="J1373" i="5"/>
  <c r="J1213" i="5"/>
  <c r="S1213" i="5"/>
  <c r="J1143" i="5"/>
  <c r="J987" i="5"/>
  <c r="J990" i="5"/>
  <c r="S990" i="5"/>
  <c r="V990" i="5" s="1"/>
  <c r="J989" i="5"/>
  <c r="J986" i="5"/>
  <c r="J955" i="5"/>
  <c r="J947" i="5"/>
  <c r="J938" i="5"/>
  <c r="S938" i="5"/>
  <c r="J941" i="5"/>
  <c r="S941" i="5"/>
  <c r="J939" i="5"/>
  <c r="S939" i="5"/>
  <c r="J940" i="5"/>
  <c r="S940" i="5"/>
  <c r="J944" i="5"/>
  <c r="J943" i="5"/>
  <c r="S943" i="5"/>
  <c r="J942" i="5"/>
  <c r="J927" i="5"/>
  <c r="J924" i="5"/>
  <c r="J922" i="5"/>
  <c r="J921" i="5"/>
  <c r="S920" i="5"/>
  <c r="J917" i="5"/>
  <c r="S917" i="5" s="1"/>
  <c r="J916" i="5"/>
  <c r="J914" i="5"/>
  <c r="J915" i="5"/>
  <c r="J911" i="5"/>
  <c r="J909" i="5"/>
  <c r="S909" i="5" s="1"/>
  <c r="V909" i="5" s="1"/>
  <c r="J908" i="5"/>
  <c r="S908" i="5" s="1"/>
  <c r="V908" i="5" s="1"/>
  <c r="J907" i="5"/>
  <c r="J904" i="5"/>
  <c r="J897" i="5"/>
  <c r="S897" i="5" s="1"/>
  <c r="J902" i="5"/>
  <c r="S902" i="5" s="1"/>
  <c r="V902" i="5" s="1"/>
  <c r="J903" i="5"/>
  <c r="I788" i="5"/>
  <c r="I782" i="5"/>
  <c r="I764" i="5"/>
  <c r="J764" i="5"/>
  <c r="J754" i="5"/>
  <c r="I727" i="5"/>
  <c r="J727" i="5"/>
  <c r="S727" i="5" s="1"/>
  <c r="V727" i="5" s="1"/>
  <c r="J704" i="5"/>
  <c r="I703" i="5"/>
  <c r="J703" i="5"/>
  <c r="J701" i="5"/>
  <c r="S701" i="5"/>
  <c r="J691" i="5"/>
  <c r="S691" i="5"/>
  <c r="J689" i="5"/>
  <c r="S689" i="5"/>
  <c r="J687" i="5"/>
  <c r="S687" i="5"/>
  <c r="I582" i="5"/>
  <c r="J582" i="5"/>
  <c r="I581" i="5"/>
  <c r="J581" i="5" s="1"/>
  <c r="J578" i="5"/>
  <c r="S578" i="5"/>
  <c r="J577" i="5"/>
  <c r="S577" i="5"/>
  <c r="I553" i="5"/>
  <c r="J553" i="5"/>
  <c r="S553" i="5" s="1"/>
  <c r="J494" i="5"/>
  <c r="S494" i="5" s="1"/>
  <c r="J343" i="5"/>
  <c r="J315" i="5"/>
  <c r="J312" i="5"/>
  <c r="J309" i="5"/>
  <c r="J263" i="5"/>
  <c r="J248" i="5"/>
  <c r="J245" i="5"/>
  <c r="J241" i="5"/>
  <c r="J239" i="5"/>
  <c r="J234" i="5"/>
  <c r="S234" i="5"/>
  <c r="V234" i="5" s="1"/>
  <c r="J232" i="5"/>
  <c r="J210" i="5"/>
  <c r="S210" i="5"/>
  <c r="J205" i="5"/>
  <c r="J203" i="5"/>
  <c r="S203" i="5"/>
  <c r="J204" i="5"/>
  <c r="J199" i="5"/>
  <c r="J191" i="5"/>
  <c r="S191" i="5"/>
  <c r="J186" i="5"/>
  <c r="S186" i="5" s="1"/>
  <c r="J120" i="5"/>
  <c r="J118" i="5"/>
  <c r="S118" i="5"/>
  <c r="J114" i="5"/>
  <c r="J113" i="5"/>
  <c r="S113" i="5" s="1"/>
  <c r="V113" i="5" s="1"/>
  <c r="J112" i="5"/>
  <c r="S112" i="5"/>
  <c r="V112" i="5"/>
  <c r="I111" i="5"/>
  <c r="J111" i="5" s="1"/>
  <c r="S111" i="5" s="1"/>
  <c r="V111" i="5" s="1"/>
  <c r="J78" i="5"/>
  <c r="J40" i="5"/>
  <c r="J38" i="5"/>
  <c r="S38" i="5" s="1"/>
  <c r="J37" i="5"/>
  <c r="J36" i="5"/>
  <c r="S36" i="5"/>
  <c r="J33" i="5"/>
  <c r="J27" i="5"/>
  <c r="S27" i="5" s="1"/>
  <c r="J2026" i="5"/>
  <c r="S2026" i="5"/>
  <c r="P2117" i="5"/>
  <c r="R2117" i="5" s="1"/>
  <c r="S2117" i="5" s="1"/>
  <c r="P2387" i="5"/>
  <c r="P2384" i="5"/>
  <c r="J2387" i="5"/>
  <c r="S2387" i="5"/>
  <c r="V2387" i="5" s="1"/>
  <c r="R1863" i="5"/>
  <c r="R677" i="5"/>
  <c r="S677" i="5"/>
  <c r="V677" i="5" s="1"/>
  <c r="P991" i="5"/>
  <c r="R991" i="5" s="1"/>
  <c r="S991" i="5" s="1"/>
  <c r="R1717" i="5"/>
  <c r="S1717" i="5"/>
  <c r="V1717" i="5"/>
  <c r="I576" i="5"/>
  <c r="J576" i="5"/>
  <c r="S576" i="5"/>
  <c r="J865" i="5"/>
  <c r="S865" i="5" s="1"/>
  <c r="V865" i="5" s="1"/>
  <c r="O154" i="5"/>
  <c r="R1707" i="5"/>
  <c r="S1707" i="5" s="1"/>
  <c r="V1707" i="5" s="1"/>
  <c r="R821" i="5"/>
  <c r="S821" i="5"/>
  <c r="V821" i="5" s="1"/>
  <c r="R2448" i="5"/>
  <c r="J360" i="5"/>
  <c r="I2396" i="5"/>
  <c r="I2394" i="5"/>
  <c r="P1930" i="5"/>
  <c r="P1926" i="5"/>
  <c r="R1926" i="5" s="1"/>
  <c r="P1851" i="5"/>
  <c r="P1360" i="5"/>
  <c r="P1308" i="5"/>
  <c r="R867" i="5"/>
  <c r="J438" i="5"/>
  <c r="S438" i="5"/>
  <c r="V438" i="5" s="1"/>
  <c r="J436" i="5"/>
  <c r="S436" i="5" s="1"/>
  <c r="S72" i="5"/>
  <c r="V72" i="5"/>
  <c r="P1724" i="5"/>
  <c r="R1724" i="5" s="1"/>
  <c r="S1724" i="5" s="1"/>
  <c r="V1724" i="5" s="1"/>
  <c r="J90" i="5"/>
  <c r="S90" i="5" s="1"/>
  <c r="V90" i="5" s="1"/>
  <c r="V102" i="5"/>
  <c r="R114" i="5"/>
  <c r="P253" i="5"/>
  <c r="R253" i="5"/>
  <c r="P352" i="5"/>
  <c r="R352" i="5"/>
  <c r="J352" i="5"/>
  <c r="V807" i="5"/>
  <c r="V819" i="5"/>
  <c r="V924" i="5"/>
  <c r="P987" i="5"/>
  <c r="R987" i="5"/>
  <c r="V1186" i="5"/>
  <c r="V1275" i="5"/>
  <c r="V1283" i="5"/>
  <c r="J1431" i="5"/>
  <c r="S1431" i="5" s="1"/>
  <c r="V1431" i="5" s="1"/>
  <c r="J1439" i="5"/>
  <c r="S1439" i="5"/>
  <c r="V1454" i="5"/>
  <c r="V1458" i="5"/>
  <c r="V1457" i="5"/>
  <c r="V1495" i="5"/>
  <c r="J1921" i="5"/>
  <c r="O2028" i="5"/>
  <c r="P2028" i="5" s="1"/>
  <c r="R2028" i="5" s="1"/>
  <c r="S2028" i="5" s="1"/>
  <c r="V2028" i="5" s="1"/>
  <c r="O2029" i="5"/>
  <c r="P2029" i="5"/>
  <c r="V2024" i="5"/>
  <c r="V2040" i="5"/>
  <c r="V2090" i="5"/>
  <c r="R2107" i="5"/>
  <c r="P2121" i="5"/>
  <c r="R2121" i="5" s="1"/>
  <c r="P2268" i="5"/>
  <c r="R2268" i="5" s="1"/>
  <c r="S2268" i="5" s="1"/>
  <c r="J2415" i="5"/>
  <c r="S2415" i="5" s="1"/>
  <c r="J2338" i="5"/>
  <c r="I1587" i="5"/>
  <c r="J1587" i="5"/>
  <c r="J1210" i="5"/>
  <c r="S1210" i="5"/>
  <c r="I853" i="5"/>
  <c r="I314" i="5"/>
  <c r="J314" i="5" s="1"/>
  <c r="S314" i="5" s="1"/>
  <c r="I355" i="5"/>
  <c r="J323" i="5"/>
  <c r="R591" i="5"/>
  <c r="S591" i="5"/>
  <c r="V591" i="5" s="1"/>
  <c r="I464" i="5"/>
  <c r="I461" i="5"/>
  <c r="I452" i="5"/>
  <c r="I451" i="5"/>
  <c r="I445" i="5"/>
  <c r="I441" i="5"/>
  <c r="I289" i="5"/>
  <c r="J289" i="5"/>
  <c r="S289" i="5" s="1"/>
  <c r="I285" i="5"/>
  <c r="I336" i="5"/>
  <c r="J336" i="5" s="1"/>
  <c r="I327" i="5"/>
  <c r="I338" i="5"/>
  <c r="J339" i="5"/>
  <c r="P619" i="5"/>
  <c r="P636" i="5"/>
  <c r="P628" i="5"/>
  <c r="R628" i="5"/>
  <c r="S628" i="5"/>
  <c r="V628" i="5"/>
  <c r="V2401" i="5"/>
  <c r="V2394" i="5"/>
  <c r="V2369" i="5"/>
  <c r="V2354" i="5"/>
  <c r="V2324" i="5"/>
  <c r="V2328" i="5"/>
  <c r="V2313" i="5"/>
  <c r="V2292" i="5"/>
  <c r="V2293" i="5"/>
  <c r="V2286" i="5"/>
  <c r="R2260" i="5"/>
  <c r="S2260" i="5"/>
  <c r="V2260" i="5" s="1"/>
  <c r="P2258" i="5"/>
  <c r="R2258" i="5"/>
  <c r="J2258" i="5"/>
  <c r="S2258" i="5" s="1"/>
  <c r="V2258" i="5" s="1"/>
  <c r="V2244" i="5"/>
  <c r="V2239" i="5"/>
  <c r="R2194" i="5"/>
  <c r="S2194" i="5" s="1"/>
  <c r="V2194" i="5" s="1"/>
  <c r="V2183" i="5"/>
  <c r="V2174" i="5"/>
  <c r="J2168" i="5"/>
  <c r="S2168" i="5" s="1"/>
  <c r="V2168" i="5" s="1"/>
  <c r="P2154" i="5"/>
  <c r="R2154" i="5"/>
  <c r="S2154" i="5" s="1"/>
  <c r="V2154" i="5" s="1"/>
  <c r="P2095" i="5"/>
  <c r="R2095" i="5"/>
  <c r="R2096" i="5"/>
  <c r="S2096" i="5"/>
  <c r="V2096" i="5"/>
  <c r="J2054" i="5"/>
  <c r="S2054" i="5" s="1"/>
  <c r="V2054" i="5" s="1"/>
  <c r="V2034" i="5"/>
  <c r="V2030" i="5"/>
  <c r="V2031" i="5"/>
  <c r="T2026" i="5"/>
  <c r="U2026" i="5" s="1"/>
  <c r="V2006" i="5"/>
  <c r="P2019" i="5"/>
  <c r="R2019" i="5"/>
  <c r="J2019" i="5"/>
  <c r="P2018" i="5"/>
  <c r="R2018" i="5" s="1"/>
  <c r="S2018" i="5" s="1"/>
  <c r="V2018" i="5" s="1"/>
  <c r="I2018" i="5"/>
  <c r="J2018" i="5"/>
  <c r="P2017" i="5"/>
  <c r="R2017" i="5" s="1"/>
  <c r="S2017" i="5" s="1"/>
  <c r="V2017" i="5" s="1"/>
  <c r="J2017" i="5"/>
  <c r="V1890" i="5"/>
  <c r="V1889" i="5"/>
  <c r="V1888" i="5"/>
  <c r="V1861" i="5"/>
  <c r="R1701" i="5"/>
  <c r="S1701" i="5"/>
  <c r="V1701" i="5" s="1"/>
  <c r="V1639" i="5"/>
  <c r="V1628" i="5"/>
  <c r="V1622" i="5"/>
  <c r="V1621" i="5"/>
  <c r="V1616" i="5"/>
  <c r="V1614" i="5"/>
  <c r="V1569" i="5"/>
  <c r="V1574" i="5"/>
  <c r="V1575" i="5"/>
  <c r="V1571" i="5"/>
  <c r="V1567" i="5"/>
  <c r="V1541" i="5"/>
  <c r="V1552" i="5"/>
  <c r="V1551" i="5"/>
  <c r="V1534" i="5"/>
  <c r="P1499" i="5"/>
  <c r="R1499" i="5"/>
  <c r="J1499" i="5"/>
  <c r="S1489" i="5"/>
  <c r="V1489" i="5" s="1"/>
  <c r="R1493" i="5"/>
  <c r="S1493" i="5"/>
  <c r="V1493" i="5" s="1"/>
  <c r="V1492" i="5"/>
  <c r="V1473" i="5"/>
  <c r="V1465" i="5"/>
  <c r="V1451" i="5"/>
  <c r="V1445" i="5"/>
  <c r="V1420" i="5"/>
  <c r="V1406" i="5"/>
  <c r="V1344" i="5"/>
  <c r="V1296" i="5"/>
  <c r="V1280" i="5"/>
  <c r="V1274" i="5"/>
  <c r="V1227" i="5"/>
  <c r="V1196" i="5"/>
  <c r="J1182" i="5"/>
  <c r="S1182" i="5"/>
  <c r="V1182" i="5" s="1"/>
  <c r="V1175" i="5"/>
  <c r="V1168" i="5"/>
  <c r="V1163" i="5"/>
  <c r="P1143" i="5"/>
  <c r="R1143" i="5" s="1"/>
  <c r="S1143" i="5" s="1"/>
  <c r="V1143" i="5" s="1"/>
  <c r="P1142" i="5"/>
  <c r="R1142" i="5" s="1"/>
  <c r="S1142" i="5" s="1"/>
  <c r="V1142" i="5" s="1"/>
  <c r="V1141" i="5"/>
  <c r="V1122" i="5"/>
  <c r="V1118" i="5"/>
  <c r="V1117" i="5"/>
  <c r="V1115" i="5"/>
  <c r="V1113" i="5"/>
  <c r="S1096" i="5"/>
  <c r="V1096" i="5" s="1"/>
  <c r="V1080" i="5"/>
  <c r="V1079" i="5"/>
  <c r="V1060" i="5"/>
  <c r="V1059" i="5"/>
  <c r="S1015" i="5"/>
  <c r="V1015" i="5" s="1"/>
  <c r="V1006" i="5"/>
  <c r="S994" i="5"/>
  <c r="V994" i="5"/>
  <c r="P986" i="5"/>
  <c r="R986" i="5"/>
  <c r="V956" i="5"/>
  <c r="V981" i="5"/>
  <c r="V962" i="5"/>
  <c r="V961" i="5"/>
  <c r="V963" i="5"/>
  <c r="V964" i="5"/>
  <c r="V958" i="5"/>
  <c r="V959" i="5"/>
  <c r="P886" i="5"/>
  <c r="R886" i="5"/>
  <c r="J886" i="5"/>
  <c r="V882" i="5"/>
  <c r="V880" i="5"/>
  <c r="V866" i="5"/>
  <c r="V891" i="5"/>
  <c r="V850" i="5"/>
  <c r="I834" i="5"/>
  <c r="J834" i="5"/>
  <c r="S834" i="5"/>
  <c r="V834" i="5" s="1"/>
  <c r="V826" i="5"/>
  <c r="V790" i="5"/>
  <c r="S739" i="5"/>
  <c r="V739" i="5"/>
  <c r="I733" i="5"/>
  <c r="J733" i="5"/>
  <c r="S733" i="5" s="1"/>
  <c r="V733" i="5" s="1"/>
  <c r="J729" i="5"/>
  <c r="S729" i="5"/>
  <c r="V729" i="5"/>
  <c r="V728" i="5"/>
  <c r="J716" i="5"/>
  <c r="S716" i="5"/>
  <c r="V716" i="5"/>
  <c r="P704" i="5"/>
  <c r="R704" i="5" s="1"/>
  <c r="S704" i="5" s="1"/>
  <c r="V704" i="5" s="1"/>
  <c r="J702" i="5"/>
  <c r="S702" i="5" s="1"/>
  <c r="V702" i="5" s="1"/>
  <c r="V700" i="5"/>
  <c r="V699" i="5"/>
  <c r="V655" i="5"/>
  <c r="V627" i="5"/>
  <c r="V508" i="5"/>
  <c r="V547" i="5"/>
  <c r="S540" i="5"/>
  <c r="V540" i="5"/>
  <c r="V520" i="5"/>
  <c r="V521" i="5"/>
  <c r="V522" i="5"/>
  <c r="V523" i="5"/>
  <c r="V517" i="5"/>
  <c r="V490" i="5"/>
  <c r="P479" i="5"/>
  <c r="R479" i="5"/>
  <c r="S479" i="5" s="1"/>
  <c r="V479" i="5" s="1"/>
  <c r="V466" i="5"/>
  <c r="V439" i="5"/>
  <c r="V437" i="5"/>
  <c r="V432" i="5"/>
  <c r="V427" i="5"/>
  <c r="V422" i="5"/>
  <c r="V416" i="5"/>
  <c r="V414" i="5"/>
  <c r="V409" i="5"/>
  <c r="V403" i="5"/>
  <c r="V402" i="5"/>
  <c r="V391" i="5"/>
  <c r="V370" i="5"/>
  <c r="V364" i="5"/>
  <c r="V354" i="5"/>
  <c r="V353" i="5"/>
  <c r="V345" i="5"/>
  <c r="J341" i="5"/>
  <c r="S341" i="5" s="1"/>
  <c r="V341" i="5" s="1"/>
  <c r="V338" i="5"/>
  <c r="V332" i="5"/>
  <c r="V325" i="5"/>
  <c r="V321" i="5"/>
  <c r="V319" i="5"/>
  <c r="V307" i="5"/>
  <c r="V300" i="5"/>
  <c r="V233" i="5"/>
  <c r="S254" i="5"/>
  <c r="V254" i="5"/>
  <c r="V225" i="5"/>
  <c r="R213" i="5"/>
  <c r="S213" i="5" s="1"/>
  <c r="V213" i="5" s="1"/>
  <c r="V201" i="5"/>
  <c r="V162" i="5"/>
  <c r="V161" i="5"/>
  <c r="V154" i="5"/>
  <c r="J141" i="5"/>
  <c r="S141" i="5"/>
  <c r="V141" i="5"/>
  <c r="P95" i="5"/>
  <c r="R95" i="5" s="1"/>
  <c r="S95" i="5" s="1"/>
  <c r="V95" i="5" s="1"/>
  <c r="J95" i="5"/>
  <c r="J91" i="5"/>
  <c r="S91" i="5"/>
  <c r="V91" i="5" s="1"/>
  <c r="J71" i="5"/>
  <c r="V40" i="5"/>
  <c r="P73" i="5"/>
  <c r="R73" i="5" s="1"/>
  <c r="S73" i="5" s="1"/>
  <c r="V73" i="5" s="1"/>
  <c r="J73" i="5"/>
  <c r="S2" i="5"/>
  <c r="V2" i="5"/>
  <c r="R1837" i="5"/>
  <c r="J1565" i="5"/>
  <c r="S1565" i="5"/>
  <c r="P1373" i="5"/>
  <c r="R1373" i="5" s="1"/>
  <c r="S1373" i="5" s="1"/>
  <c r="V1373" i="5" s="1"/>
  <c r="J1137" i="5"/>
  <c r="S1137" i="5" s="1"/>
  <c r="P1116" i="5"/>
  <c r="R1116" i="5" s="1"/>
  <c r="S1116" i="5" s="1"/>
  <c r="J1026" i="5"/>
  <c r="R942" i="5"/>
  <c r="R898" i="5"/>
  <c r="S898" i="5"/>
  <c r="R814" i="5"/>
  <c r="J814" i="5"/>
  <c r="P811" i="5"/>
  <c r="R811" i="5"/>
  <c r="I811" i="5"/>
  <c r="J811" i="5" s="1"/>
  <c r="S811" i="5" s="1"/>
  <c r="L792" i="5"/>
  <c r="R792" i="5"/>
  <c r="J792" i="5"/>
  <c r="P783" i="5"/>
  <c r="R783" i="5" s="1"/>
  <c r="S783" i="5" s="1"/>
  <c r="V783" i="5" s="1"/>
  <c r="I774" i="5"/>
  <c r="J774" i="5"/>
  <c r="S774" i="5" s="1"/>
  <c r="P661" i="5"/>
  <c r="R661" i="5"/>
  <c r="J661" i="5"/>
  <c r="P560" i="5"/>
  <c r="R560" i="5"/>
  <c r="P227" i="5"/>
  <c r="R227" i="5" s="1"/>
  <c r="S227" i="5" s="1"/>
  <c r="J498" i="5"/>
  <c r="S498" i="5"/>
  <c r="O422" i="5"/>
  <c r="N422" i="5"/>
  <c r="O409" i="5"/>
  <c r="N409" i="5"/>
  <c r="J2343" i="5"/>
  <c r="J2337" i="5"/>
  <c r="S2337" i="5" s="1"/>
  <c r="I2336" i="5"/>
  <c r="I2040" i="5"/>
  <c r="J2041" i="5"/>
  <c r="J2023" i="5"/>
  <c r="J1586" i="5"/>
  <c r="J1585" i="5"/>
  <c r="J1257" i="5"/>
  <c r="J1009" i="5"/>
  <c r="J901" i="5"/>
  <c r="J875" i="5"/>
  <c r="J876" i="5"/>
  <c r="I805" i="5"/>
  <c r="J805" i="5"/>
  <c r="I806" i="5"/>
  <c r="I736" i="5"/>
  <c r="J736" i="5" s="1"/>
  <c r="S736" i="5" s="1"/>
  <c r="J707" i="5"/>
  <c r="J670" i="5"/>
  <c r="J572" i="5"/>
  <c r="J557" i="5"/>
  <c r="I511" i="5"/>
  <c r="J511" i="5" s="1"/>
  <c r="I510" i="5"/>
  <c r="J510" i="5"/>
  <c r="J501" i="5"/>
  <c r="J464" i="5"/>
  <c r="J461" i="5"/>
  <c r="J452" i="5"/>
  <c r="J451" i="5"/>
  <c r="I421" i="5"/>
  <c r="I281" i="5"/>
  <c r="J363" i="5"/>
  <c r="S2127" i="5"/>
  <c r="P293" i="5"/>
  <c r="R293" i="5" s="1"/>
  <c r="S293" i="5" s="1"/>
  <c r="J293" i="5"/>
  <c r="I1663" i="5"/>
  <c r="J1663" i="5" s="1"/>
  <c r="P334" i="5"/>
  <c r="R334" i="5"/>
  <c r="J334" i="5"/>
  <c r="P328" i="5"/>
  <c r="R328" i="5" s="1"/>
  <c r="S328" i="5" s="1"/>
  <c r="P310" i="5"/>
  <c r="R310" i="5"/>
  <c r="P287" i="5"/>
  <c r="P285" i="5"/>
  <c r="R285" i="5"/>
  <c r="S285" i="5"/>
  <c r="P272" i="5"/>
  <c r="R272" i="5"/>
  <c r="P2374" i="5"/>
  <c r="P2382" i="5"/>
  <c r="R2382" i="5" s="1"/>
  <c r="S2382" i="5" s="1"/>
  <c r="P2321" i="5"/>
  <c r="P2316" i="5"/>
  <c r="P2177" i="5"/>
  <c r="P2149" i="5"/>
  <c r="P2102" i="5"/>
  <c r="P2105" i="5"/>
  <c r="P1990" i="5"/>
  <c r="P1988" i="5"/>
  <c r="R1988" i="5"/>
  <c r="S1988" i="5"/>
  <c r="P1987" i="5"/>
  <c r="R1987" i="5"/>
  <c r="S1987" i="5"/>
  <c r="P1982" i="5"/>
  <c r="P1980" i="5"/>
  <c r="R1980" i="5"/>
  <c r="P1981" i="5"/>
  <c r="N1566" i="5"/>
  <c r="N1570" i="5"/>
  <c r="N1572" i="5"/>
  <c r="P1502" i="5"/>
  <c r="R1502" i="5"/>
  <c r="P1180" i="5"/>
  <c r="P1178" i="5"/>
  <c r="P1177" i="5"/>
  <c r="P1109" i="5"/>
  <c r="P831" i="5"/>
  <c r="P832" i="5"/>
  <c r="R832" i="5"/>
  <c r="J832" i="5"/>
  <c r="P211" i="5"/>
  <c r="P210" i="5"/>
  <c r="P185" i="5"/>
  <c r="P182" i="5"/>
  <c r="R182" i="5" s="1"/>
  <c r="P175" i="5"/>
  <c r="R175" i="5" s="1"/>
  <c r="P174" i="5"/>
  <c r="P172" i="5"/>
  <c r="R172" i="5"/>
  <c r="S172" i="5"/>
  <c r="J870" i="5"/>
  <c r="S870" i="5" s="1"/>
  <c r="I1060" i="5"/>
  <c r="I1059" i="5"/>
  <c r="I804" i="5"/>
  <c r="J804" i="5" s="1"/>
  <c r="J721" i="5"/>
  <c r="S721" i="5" s="1"/>
  <c r="J262" i="5"/>
  <c r="S262" i="5" s="1"/>
  <c r="J87" i="5"/>
  <c r="J93" i="5"/>
  <c r="J3" i="5"/>
  <c r="S3" i="5" s="1"/>
  <c r="V3" i="5" s="1"/>
  <c r="J2426" i="5"/>
  <c r="J2191" i="5"/>
  <c r="S2191" i="5" s="1"/>
  <c r="J2091" i="5"/>
  <c r="S2091" i="5"/>
  <c r="J2047" i="5"/>
  <c r="J1986" i="5"/>
  <c r="S1986" i="5"/>
  <c r="J1713" i="5"/>
  <c r="J1576" i="5"/>
  <c r="I231" i="5"/>
  <c r="J94" i="5"/>
  <c r="S94" i="5" s="1"/>
  <c r="J23" i="5"/>
  <c r="S23" i="5" s="1"/>
  <c r="J685" i="5"/>
  <c r="S685" i="5"/>
  <c r="J831" i="5"/>
  <c r="S831" i="5" s="1"/>
  <c r="P2462" i="5"/>
  <c r="P2464" i="5"/>
  <c r="R2465" i="5"/>
  <c r="R1239" i="5"/>
  <c r="S1239" i="5"/>
  <c r="L922" i="5"/>
  <c r="R922" i="5"/>
  <c r="S1736" i="5"/>
  <c r="J718" i="5"/>
  <c r="S718" i="5" s="1"/>
  <c r="J2357" i="5"/>
  <c r="S2312" i="5"/>
  <c r="J2178" i="5"/>
  <c r="I2135" i="5"/>
  <c r="I1946" i="5"/>
  <c r="I1896" i="5"/>
  <c r="J1477" i="5"/>
  <c r="J1452" i="5"/>
  <c r="J1442" i="5"/>
  <c r="S1442" i="5" s="1"/>
  <c r="J1430" i="5"/>
  <c r="I1405" i="5"/>
  <c r="J1395" i="5"/>
  <c r="J1378" i="5"/>
  <c r="J1358" i="5"/>
  <c r="J1304" i="5"/>
  <c r="I1312" i="5"/>
  <c r="I1311" i="5"/>
  <c r="J1317" i="5"/>
  <c r="S1317" i="5"/>
  <c r="J1319" i="5"/>
  <c r="J1307" i="5"/>
  <c r="J1085" i="5"/>
  <c r="J1018" i="5"/>
  <c r="S1018" i="5" s="1"/>
  <c r="J1014" i="5"/>
  <c r="S1014" i="5"/>
  <c r="I892" i="5"/>
  <c r="J893" i="5"/>
  <c r="J815" i="5"/>
  <c r="I768" i="5"/>
  <c r="J768" i="5" s="1"/>
  <c r="I769" i="5"/>
  <c r="J769" i="5" s="1"/>
  <c r="I766" i="5"/>
  <c r="J766" i="5"/>
  <c r="J770" i="5"/>
  <c r="J753" i="5"/>
  <c r="S753" i="5"/>
  <c r="J738" i="5"/>
  <c r="S738" i="5" s="1"/>
  <c r="V738" i="5" s="1"/>
  <c r="J724" i="5"/>
  <c r="J725" i="5"/>
  <c r="J723" i="5"/>
  <c r="J692" i="5"/>
  <c r="S692" i="5" s="1"/>
  <c r="J675" i="5"/>
  <c r="J673" i="5"/>
  <c r="J672" i="5"/>
  <c r="J669" i="5"/>
  <c r="J668" i="5"/>
  <c r="J659" i="5"/>
  <c r="S659" i="5"/>
  <c r="J465" i="5"/>
  <c r="J460" i="5"/>
  <c r="J459" i="5"/>
  <c r="J340" i="5"/>
  <c r="J320" i="5"/>
  <c r="J317" i="5"/>
  <c r="J292" i="5"/>
  <c r="J276" i="5"/>
  <c r="I54" i="5"/>
  <c r="I854" i="5"/>
  <c r="J157" i="5"/>
  <c r="P2050" i="5"/>
  <c r="N2050" i="5" s="1"/>
  <c r="P2460" i="5"/>
  <c r="R2460" i="5"/>
  <c r="P2459" i="5"/>
  <c r="R2459" i="5" s="1"/>
  <c r="P2437" i="5"/>
  <c r="R2437" i="5"/>
  <c r="S2437" i="5" s="1"/>
  <c r="O2345" i="5"/>
  <c r="O2346" i="5"/>
  <c r="O2344" i="5"/>
  <c r="P2306" i="5"/>
  <c r="P2303" i="5"/>
  <c r="R2303" i="5"/>
  <c r="P2301" i="5"/>
  <c r="P2225" i="5"/>
  <c r="R2225" i="5" s="1"/>
  <c r="R2187" i="5"/>
  <c r="P2187" i="5"/>
  <c r="P2184" i="5"/>
  <c r="R2184" i="5" s="1"/>
  <c r="P2153" i="5"/>
  <c r="R2153" i="5"/>
  <c r="P2142" i="5"/>
  <c r="P2136" i="5"/>
  <c r="R2089" i="5"/>
  <c r="J2050" i="5"/>
  <c r="P2037" i="5"/>
  <c r="R2037" i="5" s="1"/>
  <c r="P2049" i="5"/>
  <c r="R2049" i="5" s="1"/>
  <c r="S2049" i="5" s="1"/>
  <c r="V2049" i="5" s="1"/>
  <c r="P2047" i="5"/>
  <c r="R2047" i="5" s="1"/>
  <c r="S2047" i="5" s="1"/>
  <c r="V2047" i="5" s="1"/>
  <c r="P2041" i="5"/>
  <c r="R2041" i="5"/>
  <c r="P2016" i="5"/>
  <c r="R2016" i="5" s="1"/>
  <c r="P2008" i="5"/>
  <c r="P1766" i="5"/>
  <c r="R1766" i="5" s="1"/>
  <c r="P1760" i="5"/>
  <c r="R1760" i="5"/>
  <c r="P1754" i="5"/>
  <c r="R1754" i="5"/>
  <c r="S1754" i="5" s="1"/>
  <c r="P1718" i="5"/>
  <c r="R1718" i="5" s="1"/>
  <c r="S1718" i="5" s="1"/>
  <c r="P1714" i="5"/>
  <c r="R1714" i="5"/>
  <c r="P1708" i="5"/>
  <c r="P1706" i="5"/>
  <c r="R1706" i="5" s="1"/>
  <c r="S1706" i="5" s="1"/>
  <c r="N1569" i="5"/>
  <c r="N1574" i="5"/>
  <c r="N1575" i="5"/>
  <c r="N1571" i="5"/>
  <c r="N1567" i="5"/>
  <c r="N1573" i="5"/>
  <c r="N1568" i="5"/>
  <c r="P1477" i="5"/>
  <c r="R1477" i="5" s="1"/>
  <c r="P1476" i="5"/>
  <c r="R1476" i="5" s="1"/>
  <c r="S1476" i="5" s="1"/>
  <c r="J1476" i="5"/>
  <c r="P1357" i="5"/>
  <c r="R1357" i="5"/>
  <c r="R1108" i="5"/>
  <c r="P1378" i="5"/>
  <c r="R1378" i="5"/>
  <c r="P1376" i="5"/>
  <c r="R1376" i="5" s="1"/>
  <c r="P1372" i="5"/>
  <c r="R1372" i="5" s="1"/>
  <c r="S1449" i="5"/>
  <c r="R1443" i="5"/>
  <c r="P1438" i="5"/>
  <c r="R1438" i="5" s="1"/>
  <c r="P1418" i="5"/>
  <c r="P1395" i="5"/>
  <c r="R1395" i="5"/>
  <c r="P1382" i="5"/>
  <c r="R1382" i="5"/>
  <c r="R1303" i="5"/>
  <c r="P1294" i="5"/>
  <c r="R1294" i="5"/>
  <c r="P1292" i="5"/>
  <c r="P1293" i="5"/>
  <c r="R1130" i="5"/>
  <c r="O1130" i="5"/>
  <c r="P1044" i="5"/>
  <c r="R1044" i="5" s="1"/>
  <c r="S1044" i="5" s="1"/>
  <c r="J1044" i="5"/>
  <c r="P927" i="5"/>
  <c r="R927" i="5"/>
  <c r="P923" i="5"/>
  <c r="R923" i="5"/>
  <c r="S923" i="5"/>
  <c r="N752" i="5"/>
  <c r="P481" i="5"/>
  <c r="R481" i="5"/>
  <c r="S481" i="5"/>
  <c r="P458" i="5"/>
  <c r="R458" i="5" s="1"/>
  <c r="S458" i="5" s="1"/>
  <c r="P248" i="5"/>
  <c r="R248" i="5"/>
  <c r="N83" i="5"/>
  <c r="O83" i="5"/>
  <c r="R904" i="5"/>
  <c r="R8" i="5"/>
  <c r="R518" i="5"/>
  <c r="J517" i="5"/>
  <c r="P1997" i="5"/>
  <c r="J1108" i="5"/>
  <c r="S1108" i="5" s="1"/>
  <c r="R1638" i="5"/>
  <c r="L1593" i="5"/>
  <c r="R1593" i="5"/>
  <c r="I800" i="5"/>
  <c r="J775" i="5"/>
  <c r="S775" i="5"/>
  <c r="J787" i="5"/>
  <c r="I807" i="5"/>
  <c r="I803" i="5"/>
  <c r="J810" i="5"/>
  <c r="S810" i="5" s="1"/>
  <c r="J809" i="5"/>
  <c r="S809" i="5" s="1"/>
  <c r="J802" i="5"/>
  <c r="J798" i="5"/>
  <c r="S798" i="5"/>
  <c r="I751" i="5"/>
  <c r="J751" i="5"/>
  <c r="S751" i="5"/>
  <c r="I749" i="5"/>
  <c r="I748" i="5"/>
  <c r="I746" i="5"/>
  <c r="I750" i="5"/>
  <c r="I747" i="5"/>
  <c r="J1432" i="5"/>
  <c r="S1432" i="5"/>
  <c r="J1381" i="5"/>
  <c r="S1381" i="5"/>
  <c r="J1350" i="5"/>
  <c r="S1025" i="5"/>
  <c r="S1017" i="5"/>
  <c r="I891" i="5"/>
  <c r="J839" i="5"/>
  <c r="J848" i="5"/>
  <c r="J852" i="5"/>
  <c r="S852" i="5" s="1"/>
  <c r="J1462" i="5"/>
  <c r="I1897" i="5"/>
  <c r="J1931" i="5"/>
  <c r="I1937" i="5"/>
  <c r="I2162" i="5"/>
  <c r="I2244" i="5"/>
  <c r="J2000" i="5"/>
  <c r="J1869" i="5"/>
  <c r="I1802" i="5"/>
  <c r="I1803" i="5"/>
  <c r="J1805" i="5"/>
  <c r="I785" i="5"/>
  <c r="J785" i="5" s="1"/>
  <c r="S785" i="5" s="1"/>
  <c r="I719" i="5"/>
  <c r="J719" i="5" s="1"/>
  <c r="S719" i="5" s="1"/>
  <c r="I742" i="5"/>
  <c r="J742" i="5" s="1"/>
  <c r="S742" i="5" s="1"/>
  <c r="P911" i="5"/>
  <c r="R911" i="5"/>
  <c r="P910" i="5"/>
  <c r="P916" i="5"/>
  <c r="R916" i="5" s="1"/>
  <c r="S916" i="5" s="1"/>
  <c r="P914" i="5"/>
  <c r="R914" i="5"/>
  <c r="S914" i="5" s="1"/>
  <c r="P915" i="5"/>
  <c r="R915" i="5" s="1"/>
  <c r="S915" i="5" s="1"/>
  <c r="J69" i="5"/>
  <c r="R907" i="5"/>
  <c r="P881" i="5"/>
  <c r="R881" i="5" s="1"/>
  <c r="S881" i="5" s="1"/>
  <c r="P829" i="5"/>
  <c r="R829" i="5"/>
  <c r="S829" i="5" s="1"/>
  <c r="J829" i="5"/>
  <c r="P204" i="5"/>
  <c r="R204" i="5" s="1"/>
  <c r="S204" i="5" s="1"/>
  <c r="P205" i="5"/>
  <c r="R205" i="5" s="1"/>
  <c r="S205" i="5" s="1"/>
  <c r="P232" i="5"/>
  <c r="R232" i="5"/>
  <c r="S232" i="5" s="1"/>
  <c r="S366" i="5"/>
  <c r="J524" i="5"/>
  <c r="S524" i="5"/>
  <c r="J569" i="5"/>
  <c r="S569" i="5" s="1"/>
  <c r="P759" i="5"/>
  <c r="R759" i="5"/>
  <c r="P761" i="5"/>
  <c r="R761" i="5"/>
  <c r="S761" i="5" s="1"/>
  <c r="P766" i="5"/>
  <c r="R766" i="5" s="1"/>
  <c r="S766" i="5" s="1"/>
  <c r="R815" i="5"/>
  <c r="P816" i="5"/>
  <c r="R816" i="5"/>
  <c r="S816" i="5"/>
  <c r="L800" i="5"/>
  <c r="R800" i="5" s="1"/>
  <c r="S800" i="5" s="1"/>
  <c r="J800" i="5"/>
  <c r="P696" i="5"/>
  <c r="O694" i="5"/>
  <c r="N575" i="5"/>
  <c r="P476" i="5"/>
  <c r="R476" i="5" s="1"/>
  <c r="P255" i="5"/>
  <c r="P246" i="5"/>
  <c r="P215" i="5"/>
  <c r="P198" i="5"/>
  <c r="R198" i="5"/>
  <c r="P199" i="5"/>
  <c r="R199" i="5"/>
  <c r="P206" i="5"/>
  <c r="R206" i="5"/>
  <c r="P190" i="5"/>
  <c r="R190" i="5"/>
  <c r="P184" i="5"/>
  <c r="R184" i="5" s="1"/>
  <c r="S184" i="5" s="1"/>
  <c r="P119" i="5"/>
  <c r="R119" i="5"/>
  <c r="P93" i="5"/>
  <c r="P87" i="5"/>
  <c r="S24" i="5"/>
  <c r="P22" i="5"/>
  <c r="R22" i="5" s="1"/>
  <c r="P18" i="5"/>
  <c r="I2236" i="5"/>
  <c r="J2268" i="5"/>
  <c r="I2278" i="5"/>
  <c r="I2287" i="5"/>
  <c r="J2327" i="5"/>
  <c r="I2329" i="5"/>
  <c r="J2371" i="5"/>
  <c r="J2368" i="5"/>
  <c r="I2401" i="5"/>
  <c r="J946" i="5"/>
  <c r="I966" i="5"/>
  <c r="J966" i="5"/>
  <c r="J563" i="5"/>
  <c r="J564" i="5"/>
  <c r="J556" i="5"/>
  <c r="J555" i="5"/>
  <c r="I56" i="5"/>
  <c r="J56" i="5"/>
  <c r="I953" i="5"/>
  <c r="I976" i="5"/>
  <c r="I977" i="5"/>
  <c r="I978" i="5"/>
  <c r="I973" i="5"/>
  <c r="I975" i="5"/>
  <c r="I974" i="5"/>
  <c r="I972" i="5"/>
  <c r="I970" i="5"/>
  <c r="J1040" i="5"/>
  <c r="R565" i="5"/>
  <c r="R1789" i="5"/>
  <c r="J1789" i="5" s="1"/>
  <c r="S1789" i="5" s="1"/>
  <c r="S571" i="5"/>
  <c r="S2214" i="5"/>
  <c r="N62" i="5"/>
  <c r="N56" i="5"/>
  <c r="P2196" i="5"/>
  <c r="P2197" i="5"/>
  <c r="P2198" i="5"/>
  <c r="O2214" i="5"/>
  <c r="O1901" i="5"/>
  <c r="P1617" i="5"/>
  <c r="R1617" i="5"/>
  <c r="O1613" i="5"/>
  <c r="P1695" i="5"/>
  <c r="R1695" i="5" s="1"/>
  <c r="S1695" i="5" s="1"/>
  <c r="P1598" i="5"/>
  <c r="R1598" i="5" s="1"/>
  <c r="O1559" i="5"/>
  <c r="P1560" i="5"/>
  <c r="R1560" i="5" s="1"/>
  <c r="O1528" i="5"/>
  <c r="P1523" i="5"/>
  <c r="R1523" i="5"/>
  <c r="P1518" i="5"/>
  <c r="R1518" i="5"/>
  <c r="P1486" i="5"/>
  <c r="R1486" i="5" s="1"/>
  <c r="O882" i="5"/>
  <c r="P976" i="5"/>
  <c r="O976" i="5" s="1"/>
  <c r="P977" i="5"/>
  <c r="O977" i="5" s="1"/>
  <c r="P978" i="5"/>
  <c r="O978" i="5" s="1"/>
  <c r="P966" i="5"/>
  <c r="O966" i="5" s="1"/>
  <c r="O975" i="5"/>
  <c r="O974" i="5"/>
  <c r="O972" i="5"/>
  <c r="O973" i="5"/>
  <c r="O741" i="5"/>
  <c r="O716" i="5"/>
  <c r="O701" i="5"/>
  <c r="O702" i="5"/>
  <c r="N439" i="5"/>
  <c r="J2002" i="5"/>
  <c r="I1998" i="5"/>
  <c r="J1125" i="5"/>
  <c r="J932" i="5"/>
  <c r="I880" i="5"/>
  <c r="J772" i="5"/>
  <c r="J1679" i="5"/>
  <c r="J1449" i="5"/>
  <c r="L2463" i="5"/>
  <c r="O1780" i="5"/>
  <c r="R360" i="5"/>
  <c r="R1866" i="5"/>
  <c r="R1867" i="5"/>
  <c r="P1864" i="5"/>
  <c r="R1864" i="5" s="1"/>
  <c r="S1864" i="5" s="1"/>
  <c r="V1864" i="5" s="1"/>
  <c r="O1792" i="5"/>
  <c r="N1786" i="5"/>
  <c r="P1795" i="5"/>
  <c r="R1795" i="5"/>
  <c r="P1747" i="5"/>
  <c r="R1747" i="5"/>
  <c r="S29" i="5"/>
  <c r="N228" i="5"/>
  <c r="N229" i="5"/>
  <c r="O228" i="5"/>
  <c r="O229" i="5"/>
  <c r="P230" i="5"/>
  <c r="R230" i="5" s="1"/>
  <c r="S230" i="5" s="1"/>
  <c r="R228" i="5"/>
  <c r="R229" i="5"/>
  <c r="O222" i="5"/>
  <c r="P226" i="5"/>
  <c r="P137" i="5"/>
  <c r="R137" i="5"/>
  <c r="P138" i="5"/>
  <c r="R138" i="5"/>
  <c r="P61" i="5"/>
  <c r="R61" i="5"/>
  <c r="S61" i="5" s="1"/>
  <c r="V61" i="5" s="1"/>
  <c r="P65" i="5"/>
  <c r="R65" i="5"/>
  <c r="P45" i="5"/>
  <c r="O2444" i="5"/>
  <c r="N2444" i="5"/>
  <c r="O2446" i="5"/>
  <c r="N2446" i="5"/>
  <c r="O2453" i="5"/>
  <c r="N2453" i="5"/>
  <c r="O2441" i="5"/>
  <c r="N2441" i="5"/>
  <c r="O2451" i="5"/>
  <c r="N2451" i="5"/>
  <c r="O2442" i="5"/>
  <c r="N2442" i="5"/>
  <c r="O2355" i="5"/>
  <c r="O2356" i="5"/>
  <c r="P2413" i="5"/>
  <c r="R2413" i="5" s="1"/>
  <c r="N2245" i="5"/>
  <c r="O2245" i="5"/>
  <c r="P2263" i="5"/>
  <c r="P2261" i="5"/>
  <c r="R2261" i="5"/>
  <c r="P2259" i="5"/>
  <c r="P2262" i="5"/>
  <c r="P2265" i="5"/>
  <c r="R2265" i="5"/>
  <c r="S2265" i="5" s="1"/>
  <c r="P2264" i="5"/>
  <c r="R2264" i="5"/>
  <c r="P2234" i="5"/>
  <c r="O2208" i="5"/>
  <c r="P2069" i="5"/>
  <c r="N2069" i="5" s="1"/>
  <c r="R2069" i="5"/>
  <c r="O2074" i="5"/>
  <c r="N2074" i="5"/>
  <c r="O2073" i="5"/>
  <c r="N2073" i="5" s="1"/>
  <c r="P2003" i="5"/>
  <c r="R2003" i="5"/>
  <c r="P1996" i="5"/>
  <c r="R1996" i="5"/>
  <c r="S1996" i="5" s="1"/>
  <c r="P1664" i="5"/>
  <c r="R1664" i="5" s="1"/>
  <c r="S1664" i="5" s="1"/>
  <c r="P1539" i="5"/>
  <c r="P1519" i="5"/>
  <c r="R1519" i="5"/>
  <c r="N994" i="5"/>
  <c r="P992" i="5"/>
  <c r="R992" i="5" s="1"/>
  <c r="R710" i="5"/>
  <c r="N710" i="5"/>
  <c r="N610" i="5"/>
  <c r="N608" i="5"/>
  <c r="P596" i="5"/>
  <c r="R596" i="5"/>
  <c r="N579" i="5"/>
  <c r="N574" i="5"/>
  <c r="N583" i="5"/>
  <c r="P688" i="5"/>
  <c r="R688" i="5" s="1"/>
  <c r="S688" i="5" s="1"/>
  <c r="P669" i="5"/>
  <c r="N565" i="5"/>
  <c r="N567" i="5"/>
  <c r="P509" i="5"/>
  <c r="R509" i="5" s="1"/>
  <c r="S509" i="5" s="1"/>
  <c r="N527" i="5"/>
  <c r="N532" i="5"/>
  <c r="N533" i="5"/>
  <c r="N531" i="5"/>
  <c r="N534" i="5"/>
  <c r="N539" i="5"/>
  <c r="N547" i="5"/>
  <c r="P1410" i="5"/>
  <c r="P1356" i="5"/>
  <c r="P1392" i="5"/>
  <c r="N1258" i="5"/>
  <c r="P1262" i="5"/>
  <c r="P1052" i="5"/>
  <c r="R1052" i="5"/>
  <c r="S1052" i="5" s="1"/>
  <c r="P1045" i="5"/>
  <c r="R1045" i="5"/>
  <c r="S1045" i="5" s="1"/>
  <c r="N433" i="5"/>
  <c r="N403" i="5"/>
  <c r="I2395" i="5"/>
  <c r="I1512" i="5"/>
  <c r="I1515" i="5"/>
  <c r="I1516" i="5"/>
  <c r="I1514" i="5"/>
  <c r="I1517" i="5"/>
  <c r="I1511" i="5"/>
  <c r="J2049" i="5"/>
  <c r="J2022" i="5"/>
  <c r="J2021" i="5"/>
  <c r="J2010" i="5"/>
  <c r="J2025" i="5"/>
  <c r="I1996" i="5"/>
  <c r="J138" i="5"/>
  <c r="J139" i="5"/>
  <c r="J51" i="5"/>
  <c r="J63" i="5"/>
  <c r="R1976" i="5"/>
  <c r="J1052" i="5"/>
  <c r="R136" i="5"/>
  <c r="N1814" i="5"/>
  <c r="O1814" i="5"/>
  <c r="J1683" i="5"/>
  <c r="S1683" i="5"/>
  <c r="J1664" i="5"/>
  <c r="J1045" i="5"/>
  <c r="J957" i="5"/>
  <c r="S957" i="5"/>
  <c r="J615" i="5"/>
  <c r="J596" i="5"/>
  <c r="G175" i="5"/>
  <c r="H175" i="5" s="1"/>
  <c r="G58" i="5"/>
  <c r="H58" i="5"/>
  <c r="R2457" i="5"/>
  <c r="L2443" i="5"/>
  <c r="R2441" i="5"/>
  <c r="L2451" i="5"/>
  <c r="R2451" i="5" s="1"/>
  <c r="R2442" i="5"/>
  <c r="S2450" i="5"/>
  <c r="R2411" i="5"/>
  <c r="S2411" i="5"/>
  <c r="R2399" i="5"/>
  <c r="S2399" i="5" s="1"/>
  <c r="R2395" i="5"/>
  <c r="S2395" i="5"/>
  <c r="S2364" i="5"/>
  <c r="R2351" i="5"/>
  <c r="P2351" i="5"/>
  <c r="O2351" i="5" s="1"/>
  <c r="L2351" i="5"/>
  <c r="R2355" i="5"/>
  <c r="L2353" i="5"/>
  <c r="R2352" i="5"/>
  <c r="P2352" i="5"/>
  <c r="O2352" i="5" s="1"/>
  <c r="L2352" i="5"/>
  <c r="R2334" i="5"/>
  <c r="R2245" i="5"/>
  <c r="J2261" i="5"/>
  <c r="J2259" i="5"/>
  <c r="J2262" i="5"/>
  <c r="J2265" i="5"/>
  <c r="R2211" i="5"/>
  <c r="S2211" i="5"/>
  <c r="R2210" i="5"/>
  <c r="S2210" i="5"/>
  <c r="R2176" i="5"/>
  <c r="S2176" i="5"/>
  <c r="R2068" i="5"/>
  <c r="J2056" i="5"/>
  <c r="L2082" i="5"/>
  <c r="R2058" i="5"/>
  <c r="R2071" i="5"/>
  <c r="J2036" i="5"/>
  <c r="J2033" i="5"/>
  <c r="T2020" i="5"/>
  <c r="U2020" i="5"/>
  <c r="L2020" i="5"/>
  <c r="T2028" i="5"/>
  <c r="U2028" i="5"/>
  <c r="L2028" i="5"/>
  <c r="J2028" i="5"/>
  <c r="T2029" i="5"/>
  <c r="U2029" i="5"/>
  <c r="L2029" i="5"/>
  <c r="J2029" i="5"/>
  <c r="I2029" i="5"/>
  <c r="J1925" i="5"/>
  <c r="I1925" i="5"/>
  <c r="J1886" i="5"/>
  <c r="S1881" i="5"/>
  <c r="R1879" i="5"/>
  <c r="S1879" i="5" s="1"/>
  <c r="J1879" i="5"/>
  <c r="R1858" i="5"/>
  <c r="R1830" i="5"/>
  <c r="L1820" i="5"/>
  <c r="L1821" i="5"/>
  <c r="L1814" i="5"/>
  <c r="R1814" i="5" s="1"/>
  <c r="J1815" i="5"/>
  <c r="R1792" i="5"/>
  <c r="R1674" i="5"/>
  <c r="R1644" i="5"/>
  <c r="S1644" i="5"/>
  <c r="R1645" i="5"/>
  <c r="S1645" i="5"/>
  <c r="R1646" i="5"/>
  <c r="S1646" i="5"/>
  <c r="S1649" i="5"/>
  <c r="R1631" i="5"/>
  <c r="S1625" i="5"/>
  <c r="S1617" i="5"/>
  <c r="S1583" i="5"/>
  <c r="R1577" i="5"/>
  <c r="S1577" i="5" s="1"/>
  <c r="J1544" i="5"/>
  <c r="S1544" i="5" s="1"/>
  <c r="S1545" i="5"/>
  <c r="S1523" i="5"/>
  <c r="J1523" i="5"/>
  <c r="S1519" i="5"/>
  <c r="S1510" i="5"/>
  <c r="R1510" i="5"/>
  <c r="S1512" i="5"/>
  <c r="S1515" i="5"/>
  <c r="S1516" i="5"/>
  <c r="S1514" i="5"/>
  <c r="S1517" i="5"/>
  <c r="S1511" i="5"/>
  <c r="S1513" i="5"/>
  <c r="I1513" i="5"/>
  <c r="S1505" i="5"/>
  <c r="J1505" i="5"/>
  <c r="S1498" i="5"/>
  <c r="S1480" i="5"/>
  <c r="V1480" i="5" s="1"/>
  <c r="S1477" i="5"/>
  <c r="L1467" i="5"/>
  <c r="R1467" i="5"/>
  <c r="R1452" i="5"/>
  <c r="R1440" i="5"/>
  <c r="R1435" i="5"/>
  <c r="S1435" i="5" s="1"/>
  <c r="R1424" i="5"/>
  <c r="R1421" i="5"/>
  <c r="S1421" i="5" s="1"/>
  <c r="S1400" i="5"/>
  <c r="S1402" i="5"/>
  <c r="R1384" i="5"/>
  <c r="R1377" i="5"/>
  <c r="S1377" i="5"/>
  <c r="S1363" i="5"/>
  <c r="S1350" i="5"/>
  <c r="P1350" i="5"/>
  <c r="S1327" i="5"/>
  <c r="J1322" i="5"/>
  <c r="R1323" i="5"/>
  <c r="R1315" i="5"/>
  <c r="S1315" i="5" s="1"/>
  <c r="S1310" i="5"/>
  <c r="R1272" i="5"/>
  <c r="S1259" i="5"/>
  <c r="R1231" i="5"/>
  <c r="S1231" i="5" s="1"/>
  <c r="V1231" i="5" s="1"/>
  <c r="R1211" i="5"/>
  <c r="S1211" i="5" s="1"/>
  <c r="S1207" i="5"/>
  <c r="P1184" i="5"/>
  <c r="O1184" i="5"/>
  <c r="N1184" i="5"/>
  <c r="L1184" i="5"/>
  <c r="R1184" i="5" s="1"/>
  <c r="S1184" i="5" s="1"/>
  <c r="J1184" i="5"/>
  <c r="I1184" i="5"/>
  <c r="R1185" i="5"/>
  <c r="R1172" i="5"/>
  <c r="S1172" i="5" s="1"/>
  <c r="R1164" i="5"/>
  <c r="S1164" i="5" s="1"/>
  <c r="S1152" i="5"/>
  <c r="R1123" i="5"/>
  <c r="S1123" i="5"/>
  <c r="R1114" i="5"/>
  <c r="S1114" i="5"/>
  <c r="R1118" i="5"/>
  <c r="R1117" i="5"/>
  <c r="S1092" i="5"/>
  <c r="R1063" i="5"/>
  <c r="S1063" i="5" s="1"/>
  <c r="S1050" i="5"/>
  <c r="R999" i="5"/>
  <c r="R970" i="5"/>
  <c r="S970" i="5" s="1"/>
  <c r="S976" i="5"/>
  <c r="R976" i="5"/>
  <c r="L976" i="5"/>
  <c r="J976" i="5"/>
  <c r="S977" i="5"/>
  <c r="R977" i="5"/>
  <c r="L977" i="5"/>
  <c r="J977" i="5"/>
  <c r="S978" i="5"/>
  <c r="R978" i="5"/>
  <c r="L978" i="5"/>
  <c r="J978" i="5"/>
  <c r="J877" i="5"/>
  <c r="L849" i="5"/>
  <c r="R862" i="5"/>
  <c r="S862" i="5" s="1"/>
  <c r="S840" i="5"/>
  <c r="S803" i="5"/>
  <c r="R794" i="5"/>
  <c r="L793" i="5"/>
  <c r="R793" i="5" s="1"/>
  <c r="R790" i="5"/>
  <c r="R797" i="5"/>
  <c r="S788" i="5"/>
  <c r="L779" i="5"/>
  <c r="R779" i="5"/>
  <c r="R781" i="5"/>
  <c r="P781" i="5"/>
  <c r="L781" i="5"/>
  <c r="R776" i="5"/>
  <c r="S782" i="5"/>
  <c r="S711" i="5"/>
  <c r="S697" i="5"/>
  <c r="L690" i="5"/>
  <c r="L675" i="5"/>
  <c r="R672" i="5"/>
  <c r="J641" i="5"/>
  <c r="S621" i="5"/>
  <c r="J652" i="5"/>
  <c r="J651" i="5"/>
  <c r="L643" i="5"/>
  <c r="J643" i="5"/>
  <c r="I643" i="5"/>
  <c r="L642" i="5"/>
  <c r="J642" i="5"/>
  <c r="I642" i="5"/>
  <c r="J587" i="5"/>
  <c r="J595" i="5"/>
  <c r="R610" i="5"/>
  <c r="J610" i="5"/>
  <c r="S610" i="5" s="1"/>
  <c r="O592" i="5"/>
  <c r="L592" i="5"/>
  <c r="R579" i="5"/>
  <c r="S579" i="5"/>
  <c r="R575" i="5"/>
  <c r="J575" i="5"/>
  <c r="I575" i="5"/>
  <c r="R583" i="5"/>
  <c r="R567" i="5"/>
  <c r="S567" i="5"/>
  <c r="P570" i="5"/>
  <c r="O570" i="5"/>
  <c r="L570" i="5"/>
  <c r="R570" i="5" s="1"/>
  <c r="S570" i="5" s="1"/>
  <c r="J570" i="5"/>
  <c r="I570" i="5"/>
  <c r="L503" i="5"/>
  <c r="L510" i="5"/>
  <c r="S539" i="5"/>
  <c r="I513" i="5"/>
  <c r="J513" i="5"/>
  <c r="R527" i="5"/>
  <c r="S527" i="5"/>
  <c r="S478" i="5"/>
  <c r="J477" i="5"/>
  <c r="R408" i="5"/>
  <c r="P408" i="5"/>
  <c r="O408" i="5" s="1"/>
  <c r="L408" i="5"/>
  <c r="S386" i="5"/>
  <c r="S419" i="5"/>
  <c r="L378" i="5"/>
  <c r="J378" i="5"/>
  <c r="I378" i="5"/>
  <c r="J303" i="5"/>
  <c r="R265" i="5"/>
  <c r="L256" i="5"/>
  <c r="L237" i="5"/>
  <c r="R237" i="5"/>
  <c r="S187" i="5"/>
  <c r="R180" i="5"/>
  <c r="S145" i="5"/>
  <c r="J150" i="5"/>
  <c r="S150" i="5" s="1"/>
  <c r="R123" i="5"/>
  <c r="S123" i="5"/>
  <c r="R109" i="5"/>
  <c r="S109" i="5" s="1"/>
  <c r="J75" i="5"/>
  <c r="S75" i="5" s="1"/>
  <c r="J62" i="5"/>
  <c r="S62" i="5" s="1"/>
  <c r="L56" i="5"/>
  <c r="R56" i="5" s="1"/>
  <c r="S56" i="5" s="1"/>
  <c r="R35" i="5"/>
  <c r="S2368" i="5"/>
  <c r="V2368" i="5"/>
  <c r="R157" i="5"/>
  <c r="S157" i="5"/>
  <c r="R1558" i="5"/>
  <c r="R2155" i="5"/>
  <c r="R1930" i="5"/>
  <c r="S241" i="5"/>
  <c r="U491" i="5"/>
  <c r="U1176" i="5"/>
  <c r="U1288" i="5"/>
  <c r="R1997" i="5"/>
  <c r="U2315" i="5"/>
  <c r="U1905" i="5"/>
  <c r="U492" i="5"/>
  <c r="U1677" i="5"/>
  <c r="U1876" i="5"/>
  <c r="U554" i="5"/>
  <c r="U1083" i="5"/>
  <c r="U1252" i="5"/>
  <c r="U1300" i="5"/>
  <c r="U1877" i="5"/>
  <c r="U2201" i="5"/>
  <c r="U1329" i="5"/>
  <c r="U1880" i="5"/>
  <c r="U2325" i="5"/>
  <c r="U274" i="5"/>
  <c r="U1680" i="5"/>
  <c r="U1882" i="5"/>
  <c r="U2209" i="5"/>
  <c r="U166" i="5"/>
  <c r="U1197" i="5"/>
  <c r="U1883" i="5"/>
  <c r="U1209" i="5"/>
  <c r="U1589" i="5"/>
  <c r="U1920" i="5"/>
  <c r="U81" i="5"/>
  <c r="U1504" i="5"/>
  <c r="U1765" i="5"/>
  <c r="U1376" i="5"/>
  <c r="U1461" i="5"/>
  <c r="U1524" i="5"/>
  <c r="U1929" i="5"/>
  <c r="U722" i="5"/>
  <c r="U982" i="5"/>
  <c r="U1525" i="5"/>
  <c r="U2161" i="5"/>
  <c r="U2342" i="5"/>
  <c r="U868" i="5"/>
  <c r="U1394" i="5"/>
  <c r="U1526" i="5"/>
  <c r="U2162" i="5"/>
  <c r="U2222" i="5"/>
  <c r="U134" i="5"/>
  <c r="U1397" i="5"/>
  <c r="U1236" i="5"/>
  <c r="U1897" i="5"/>
  <c r="U2358" i="5"/>
  <c r="U1237" i="5"/>
  <c r="U1615" i="5"/>
  <c r="U1668" i="5"/>
  <c r="U144" i="5"/>
  <c r="U1077" i="5"/>
  <c r="U2277" i="5"/>
  <c r="S263" i="5"/>
  <c r="R2306" i="5"/>
  <c r="R1360" i="5"/>
  <c r="S560" i="5"/>
  <c r="V560" i="5" s="1"/>
  <c r="R1068" i="5"/>
  <c r="R246" i="5"/>
  <c r="R2002" i="5"/>
  <c r="S2002" i="5"/>
  <c r="R2462" i="5"/>
  <c r="S2462" i="5"/>
  <c r="R2321" i="5"/>
  <c r="R1410" i="5"/>
  <c r="R185" i="5"/>
  <c r="R211" i="5"/>
  <c r="P165" i="5"/>
  <c r="R165" i="5"/>
  <c r="R15" i="5"/>
  <c r="P721" i="5"/>
  <c r="R1634" i="5"/>
  <c r="S1634" i="5"/>
  <c r="V1634" i="5"/>
  <c r="R1539" i="5"/>
  <c r="R2148" i="5"/>
  <c r="R1463" i="5"/>
  <c r="R2029" i="5"/>
  <c r="S2029" i="5"/>
  <c r="V2029" i="5" s="1"/>
  <c r="R2098" i="5"/>
  <c r="S2098" i="5"/>
  <c r="R1913" i="5"/>
  <c r="R1912" i="5"/>
  <c r="R2243" i="5"/>
  <c r="P2396" i="5"/>
  <c r="R2396" i="5" s="1"/>
  <c r="S2396" i="5" s="1"/>
  <c r="P1121" i="5"/>
  <c r="R1121" i="5"/>
  <c r="V2210" i="5"/>
  <c r="V2211" i="5"/>
  <c r="R1069" i="5"/>
  <c r="R1356" i="5"/>
  <c r="R63" i="5"/>
  <c r="R1144" i="5"/>
  <c r="R2105" i="5"/>
  <c r="R215" i="5"/>
  <c r="S215" i="5" s="1"/>
  <c r="R1201" i="5"/>
  <c r="R1086" i="5"/>
  <c r="S1086" i="5"/>
  <c r="S927" i="5"/>
  <c r="V927" i="5"/>
  <c r="S575" i="5"/>
  <c r="S989" i="5"/>
  <c r="V989" i="5"/>
  <c r="P1635" i="5"/>
  <c r="R1635" i="5" s="1"/>
  <c r="S1635" i="5" s="1"/>
  <c r="V1635" i="5" s="1"/>
  <c r="R1109" i="5"/>
  <c r="R1851" i="5"/>
  <c r="S1851" i="5" s="1"/>
  <c r="N570" i="5"/>
  <c r="R1392" i="5"/>
  <c r="R226" i="5"/>
  <c r="V898" i="5"/>
  <c r="V2026" i="5"/>
  <c r="V701" i="5"/>
  <c r="R812" i="5"/>
  <c r="S812" i="5"/>
  <c r="P1135" i="5"/>
  <c r="R1135" i="5"/>
  <c r="R2298" i="5"/>
  <c r="S2041" i="5"/>
  <c r="V2041" i="5"/>
  <c r="S1837" i="5"/>
  <c r="S2044" i="5"/>
  <c r="S2068" i="5"/>
  <c r="S565" i="5"/>
  <c r="S518" i="5"/>
  <c r="S1637" i="5"/>
  <c r="V1637" i="5"/>
  <c r="R1612" i="5"/>
  <c r="S1452" i="5"/>
  <c r="S199" i="5"/>
  <c r="S1378" i="5"/>
  <c r="S904" i="5"/>
  <c r="S922" i="5"/>
  <c r="S360" i="5"/>
  <c r="S1976" i="5"/>
  <c r="S596" i="5"/>
  <c r="S886" i="5"/>
  <c r="V886" i="5"/>
  <c r="S792" i="5"/>
  <c r="S787" i="5"/>
  <c r="V787" i="5"/>
  <c r="S814" i="5"/>
  <c r="S942" i="5"/>
  <c r="S352" i="5"/>
  <c r="S2448" i="5"/>
  <c r="V2448" i="5" s="1"/>
  <c r="S641" i="5"/>
  <c r="S986" i="5"/>
  <c r="V986" i="5"/>
  <c r="S1384" i="5"/>
  <c r="V1384" i="5"/>
  <c r="S710" i="5"/>
  <c r="S911" i="5"/>
  <c r="S1593" i="5"/>
  <c r="S1026" i="5"/>
  <c r="S987" i="5"/>
  <c r="V987" i="5" s="1"/>
  <c r="S138" i="5"/>
  <c r="S815" i="5"/>
  <c r="R2050" i="5"/>
  <c r="S2050" i="5"/>
  <c r="S832" i="5"/>
  <c r="S2019" i="5"/>
  <c r="V2019" i="5"/>
  <c r="S114" i="5"/>
  <c r="V114" i="5"/>
  <c r="S1456" i="5"/>
  <c r="I1593" i="5"/>
  <c r="S2261" i="5"/>
  <c r="S248" i="5"/>
  <c r="S1395" i="5"/>
  <c r="S1443" i="5"/>
  <c r="S1499" i="5"/>
  <c r="V1499" i="5"/>
  <c r="S907" i="5"/>
  <c r="S618" i="5"/>
  <c r="S2341" i="5"/>
  <c r="S661" i="5"/>
  <c r="S139" i="5"/>
  <c r="V139" i="5" s="1"/>
  <c r="S334" i="5"/>
  <c r="S672" i="5"/>
  <c r="S1917" i="5"/>
  <c r="V1917" i="5"/>
  <c r="S1863" i="5"/>
  <c r="V1863" i="5"/>
  <c r="S2095" i="5"/>
  <c r="V2095" i="5" s="1"/>
  <c r="O2341" i="5"/>
  <c r="N479" i="5"/>
  <c r="S2069" i="5" l="1"/>
  <c r="S1598" i="5"/>
  <c r="N230" i="5"/>
  <c r="N40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tc={0C20F1C2-958C-4DF7-91D8-08210565ACD2}</author>
    <author/>
    <author>tc={19F8F871-68BD-4BB7-AA0A-607CD6609EA2}</author>
    <author>tc={101DFD68-912A-4BFC-BE76-3F4224D2D592}</author>
    <author>tc={10C97547-CE25-4F15-AEF6-5FC3D8D4E95E}</author>
    <author>tc={898417FE-9706-43F1-BB12-E7C221588008}</author>
    <author>tc={95BC45A6-7B7F-4DD2-A5B9-1D8D252C8CFF}</author>
    <author>JEnnen</author>
    <author>tc={81776CD1-C1FF-443C-BBBB-E06CF205FB36}</author>
    <author>tc={478231D4-B03F-4182-9B76-0B8E904BF5B0}</author>
    <author>John Iverson</author>
    <author>TNACI</author>
    <author>tc={64353CD0-119F-48CF-88E4-7AC00E4D2BCF}</author>
    <author>tc={B9E58B26-E6FE-46D2-AA0D-022B5B490DB0}</author>
    <author>tc={0C21A039-5BA2-48B2-9D54-BE06B2A53BCF}</author>
    <author>tc={B936AE99-0F5E-408F-8FE0-ACE53C600976}</author>
    <author>tc={7526FFD1-F985-44EF-812A-83173D79FE81}</author>
    <author>tc={946CF457-0B45-4D63-8434-F5A22E2AFDBD}</author>
    <author>tc={2AC43671-1A9F-4B12-BB62-1DA9A9BB09A6}</author>
    <author>tc={91915F2E-7BD1-4CA4-9C62-50BFF7FBC3EC}</author>
    <author>tc={41068EB6-AFB8-4070-B49A-2768890D3441}</author>
    <author>tc={CF60C988-11C2-4A36-961D-1F1D7277FA19}</author>
    <author>tc={82A97584-5938-4463-8A64-00555B9EEE3C}</author>
    <author>tc={449F4759-1203-4477-8F9A-688231E1E58A}</author>
    <author>tc={024FF63C-6595-4213-A08C-A223E811C376}</author>
    <author>tc={3028D9F0-9323-4803-B1CC-B5FF60B4BA74}</author>
    <author>tc={9AFE8858-B2B0-4722-8920-0BE8FA0A5788}</author>
    <author>tc={FBEBE5E1-9EB0-47AA-8F01-5E131AD76E8F}</author>
    <author>tc={06F31C1D-0C3C-49C7-A4F2-5F671224410E}</author>
    <author>tc={2E51F7EA-CAF3-41BE-A16E-DA7F2892DD69}</author>
    <author>tc={39B9B348-48CF-48F4-80F8-F9C2E1FB01B0}</author>
    <author>tc={9CFF963F-BBC1-4A40-8663-683F85A01514}</author>
    <author>tc={8B5F3E73-584D-4CD7-A04C-509DA65F8629}</author>
    <author>tc={DFACF08F-265F-4A2D-981E-78B28FF2ACFB}</author>
    <author>tc={1D1B9678-FCBF-4EAE-B579-85A53FE36C6A}</author>
    <author>tc={79E6FE13-2F0B-408A-B512-F0CBAF159BAA}</author>
    <author>tc={F7E0CE68-18DC-4FFC-BF9E-4113A83BE42B}</author>
    <author>tc={C60E2E01-80BA-42E6-B70F-960C7B100366}</author>
    <author>tc={71C10E5B-2711-415D-B06B-45BD5361084C}</author>
    <author>tc={06B0C945-EE29-43F2-BD35-AD555CFF5BD4}</author>
    <author>tc={CFEDEB44-4B8C-46F1-AB3D-D10F4A143D2C}</author>
    <author>tc={8E2A923E-EB54-440F-98DE-CA60AEE319FB}</author>
    <author>tc={7FEA4CBA-5D00-4568-83A0-2D7C05B74BBD}</author>
    <author>tc={47C40620-337F-44C2-80A3-F7975EFED926}</author>
    <author>tc={3A276F11-DF1A-4F6B-B9C4-00E6F71E454A}</author>
    <author>tc={DCED0E80-F987-4A2D-86EB-8E1BA463B702}</author>
    <author>tc={3C148587-4D73-426B-A145-4855BD75FD95}</author>
    <author>tc={80DFA92A-889E-432F-90E9-A24B0698F6E1}</author>
    <author>tc={3A1FF33B-097B-4BD1-834C-84D96BBE7FC8}</author>
    <author>tc={857388DF-0DD2-4783-8DFF-65E36BCC6C59}</author>
    <author>tc={0B314A62-12B5-4F1E-BDFA-B20984A6D975}</author>
    <author>tc={53EAE614-61B5-4405-8DF4-1CC804FA243C}</author>
    <author>tc={7D674731-FC91-4EA3-9DBD-5FE161C8E70B}</author>
    <author>tc={B073969A-9CD8-471B-AC26-8D9B756A9786}</author>
    <author>tc={22BBAECD-16B1-4570-9D37-9C8EB8AB1E1C}</author>
    <author>tc={558EADC5-98C6-4890-A7C6-64602E73034D}</author>
    <author>tc={893DEC8F-D323-4C5F-96A7-675FB5C69D55}</author>
    <author>tc={1AE23A80-8E83-4C73-9E97-0C03EEDFCB23}</author>
    <author>tc={08C10DD8-E96D-4422-BCBC-E63FA607F1EA}</author>
    <author>tc={2A4D5E3D-49DA-470A-B747-D447D2BAC8CC}</author>
    <author>tc={5ABDE836-A512-4685-8955-FCB62FD6596A}</author>
    <author>tc={E52EEF1D-AB1C-4C05-84F6-F011E5C45AAC}</author>
    <author>tc={4BDBCBE3-FEE6-4E81-A690-FCE200BF35DD}</author>
    <author>tc={F1C376DD-761A-458A-9F1D-F5A59ABBF618}</author>
    <author>tc={147390AD-DE28-4798-9151-E8CB3B41715C}</author>
    <author>tc={45557A8A-A443-4C30-94C4-511F44D297F7}</author>
    <author>tc={452E2CAC-7BE5-410A-88D8-B0D6097B958D}</author>
    <author>tc={32E0EEB1-141C-4B57-8A80-3B5C2A87BC5D}</author>
    <author>tc={7C51F979-21ED-4331-8222-4148DA8AAC3F}</author>
    <author>tc={E02ACCBF-94E2-45FF-BE31-F7B4DE51AB69}</author>
    <author>tc={5F4E0BE5-468A-41A3-9A4A-56B9C1666C3A}</author>
    <author>tc={50DD3800-1C91-48C4-8E6A-29A361DBEA33}</author>
    <author>tc={9C036B8C-1A33-4C58-A99A-602734E54AF9}</author>
    <author>tc={1C39A1CA-00CE-45C0-874E-5F35097650B1}</author>
    <author>tc={B9E235A1-CE4E-45A8-A84F-AEB8CAD69CE9}</author>
    <author>tc={E85EFFC5-433C-4682-B24A-4F07CA42B665}</author>
    <author>tc={72868583-DE32-48FD-A43F-4040E565CF5F}</author>
    <author>tc={64790B9F-3797-4E54-AB9A-091948B8D500}</author>
    <author>tc={22F83EA5-3936-4946-813F-3A2C70A3A2D2}</author>
    <author>tc={6C5FD587-33F7-40EE-8EFB-488DF53CAF4D}</author>
    <author>tc={88C9D8ED-83A8-4F2C-81ED-A2D161253DB9}</author>
    <author>tc={028D3968-2C1C-4A8E-A971-BD18A13B219B}</author>
    <author>tc={810BB6E5-C283-441D-8DE1-5C0659BE0126}</author>
    <author>tc={1A777D90-F79B-4A36-9E92-45C4A2411190}</author>
    <author>tc={1ABC7A47-771B-4204-8FC8-A3AEF3F7F73B}</author>
    <author>tc={585192E9-5EB1-47E7-B5C4-072190C70745}</author>
    <author>tc={4AE8BABD-57D6-46E7-A8E5-AB4A038C8C48}</author>
    <author>tc={B52C4DC5-72F6-450F-9E45-045C874E58F9}</author>
    <author>tc={55AA27D1-154A-4165-8520-2E160FD13129}</author>
    <author>tc={D84B34C8-8A74-4E3B-95CE-C2221C45E6A2}</author>
    <author>tc={C1E3F163-F846-49DE-865C-42C26E4208C4}</author>
    <author>tc={8DEEB692-67B9-4000-9DB5-4094117B3999}</author>
    <author>tc={5283F7F3-8288-424F-ADF4-15CA077347AC}</author>
    <author>tc={F07669B7-1D65-4C28-9650-E9F15AC63709}</author>
    <author>tc={8893F0F1-3039-426B-B762-2AC99FE8EDFC}</author>
    <author>tc={64C91D22-EA31-46EF-A7AA-4A80A6D6A280}</author>
    <author>tc={C64C322C-03FE-4C14-A128-E953FA966226}</author>
    <author>tc={03F3BC66-8DFD-4718-BE29-0BFB78236135}</author>
    <author>tc={5D6872C7-679F-4C99-8278-21A6B0600921}</author>
    <author>tc={795629EA-3F5D-41AA-BD12-6718665B0463}</author>
    <author>tc={8B9AB448-3B79-473E-A550-37EF31AA063A}</author>
    <author>tc={F7EF641E-D983-40E4-B5E4-20A6301E6897}</author>
    <author>tc={66B9704A-45A2-47FF-A3FF-CBA5D0C9E063}</author>
    <author>tc={9C1702ED-FCA5-4999-B0AD-C1195A161619}</author>
    <author>tc={36AD80E6-5289-45F5-9E01-6728B1F3255B}</author>
    <author>tc={CAC01D5D-0D69-473D-B183-CA37A0130D50}</author>
    <author>tc={36A34082-D08F-4DC3-8D38-0C87FD0B0212}</author>
    <author>tc={3D0F997A-6CD5-408B-8D4C-2680520936F7}</author>
    <author>tc={92D178E5-07A6-4F08-B146-A9E22879EB4A}</author>
    <author>tc={5137295D-EE5F-4224-B0AB-4E10088C28A2}</author>
    <author>tc={37ABFD90-898F-4029-82C4-6077B2D1B88A}</author>
    <author>tc={FA1C3EEB-0E2D-430D-99DE-4F6C062B4965}</author>
    <author>tc={0BE0FCD8-6E65-4319-8F79-70E92C10BD34}</author>
    <author>tc={599114AA-5CC1-4F5A-A588-31616495B1EE}</author>
    <author>tc={F878B4E2-C8C4-43F5-BE20-A66C0C92856F}</author>
    <author>tc={D3790AA8-AFE5-4699-8C72-BA98FC59CA6F}</author>
    <author>tc={95AD7222-A0A3-4092-988B-1C7AED603EDA}</author>
    <author>tc={06ABB583-0E05-4F21-9976-4841562BB390}</author>
    <author>tc={43C30B72-0C45-4C49-A20F-18E1C8AF7C21}</author>
    <author>tc={4402AE70-8948-4BBF-828C-1E2FC4E57F49}</author>
    <author>tc={9494E6CB-4BE4-4727-99C2-63031ABFEB44}</author>
    <author>tc={48D1DFED-A46D-4A56-A55F-6437BB342798}</author>
    <author>tc={E240052C-39D0-407B-AF30-C95300A94406}</author>
    <author>tc={1460591C-3FBF-474A-9D0A-3F40E6C3E394}</author>
    <author>tc={98736DA5-5566-4675-B7E1-A47D1F9D6AD0}</author>
    <author>tc={3A9B3A85-E67E-4FDD-BB21-3C14A3DB72EB}</author>
    <author>tc={9E97F22C-0F19-48BC-944C-49D3B00AD16F}</author>
    <author>tc={40336628-20D8-4559-9F87-FBF484281B6C}</author>
    <author>tc={48283EEA-7EB2-4335-B88F-F455EE2CCFD8}</author>
    <author>tc={64AA51AE-184B-4530-9592-BCCD827DFADD}</author>
    <author>tc={BD871962-BED9-4090-A8D9-F2684E3B7CB2}</author>
    <author>tc={6CB74CCE-159F-45B7-8095-7E8ACBE0C24A}</author>
    <author>tc={BB5149D2-7747-49C4-810F-405F7912C5A9}</author>
    <author>tc={8A46C4EF-8A16-4649-81B7-960FE130E92C}</author>
    <author>tc={95B8163D-CADA-44D3-9EBF-308AB7859FA9}</author>
    <author>tc={59B3F2DB-7E90-4DF9-8878-235105AC11AA}</author>
    <author>tc={6C1D81C7-A2B1-4DAD-B1A9-03B47E245743}</author>
    <author>tc={4B7B15CF-32C7-4DBF-9FB4-9D7E828D2144}</author>
    <author>tc={1481D4E0-6C0C-4583-AE66-714F849438B1}</author>
    <author>tc={2941CBC2-C187-42FC-9467-77864F6534EC}</author>
    <author>tc={B5FC92FB-8BB0-43B4-A398-83C07F01E74B}</author>
    <author>tc={4A78FDEF-4673-4F7A-AF18-586196C56CC8}</author>
    <author>tc={DE7DC6F6-AE06-4EB1-B819-9C57A3DFE2A9}</author>
    <author>tc={6F36DAAB-54EE-4FAA-9139-FCB19B139182}</author>
    <author>tc={8E6A2C1E-99C8-44DE-BF98-C89CDF255F46}</author>
    <author>tc={F83579AE-24D7-4176-ACDB-B384C3D2ED9D}</author>
    <author>tc={53CA3CFC-6D51-48DE-AC02-2A979912B2D8}</author>
    <author>tc={BC48F131-CF19-498C-AB45-8310698EDAFF}</author>
    <author>tc={0A0589A1-E524-4DAA-A1D8-BD4A655F82B0}</author>
    <author>tc={3CAC25EE-CE0E-497A-8CDB-6BE43D0756CC}</author>
    <author>tc={B985D866-AB4D-43F1-837E-99AB9539B1B8}</author>
    <author>tc={2387112C-BDE7-4FE0-B361-08422895A7F2}</author>
    <author>tc={6921E0DE-D28B-4A94-B2BC-68E62A5EB743}</author>
    <author>tc={10550ECD-20E6-4A16-81EE-6DF1F865DCC4}</author>
    <author>tc={F0110FDD-04A9-4E2C-B4D6-239ACA207ED7}</author>
    <author>tc={E6CF2380-CE1A-420E-82A3-112D89DD75E2}</author>
    <author>tc={A476AA58-76B3-4472-B1D9-A7FB822659B7}</author>
    <author>tc={AC8498C6-3569-471D-ABFC-360099DD0DCB}</author>
    <author>tc={6D2C7007-4FB3-4477-998A-ADAC58E2DBB9}</author>
    <author>tc={65FFE4A6-6576-48E5-A509-13113352362B}</author>
    <author>tc={2FEAC14F-A24F-4A22-AF01-7D69D5539AAC}</author>
    <author>tc={6F54D20F-A9E1-46B0-92FD-AD22A134F430}</author>
    <author>tc={7CB3719F-5147-420C-9A88-18F1B83044C8}</author>
    <author>tc={BC928D47-75C1-4220-B28B-596CC9AD1650}</author>
    <author>tc={1F893FB6-F286-42BA-BF27-BB215FB9FF5B}</author>
    <author>tc={0539BF63-3D80-4CC8-9330-AD2F2C06B7D3}</author>
    <author>tc={5C6C56EA-2388-4223-9351-AECB5B18EB23}</author>
    <author>tc={AE3927BE-F834-489D-AD12-9579B92D0E89}</author>
    <author>tc={186F998E-3456-4BD2-8307-9DFF326795C5}</author>
    <author>tc={35BE5231-6BB3-461D-B51F-A8F7DB7404E1}</author>
    <author>tc={A8821B4B-D394-46C4-945B-025EDAEBE8FC}</author>
    <author>tc={0A801DE5-35DC-4585-8B3D-EA231944B15A}</author>
    <author>tc={98669949-D8A0-41DF-8A50-411F735E6582}</author>
    <author>tc={4211ED53-B206-40AA-81A7-B2997D9FEFBC}</author>
    <author>tc={8A89CCE8-6F13-49FF-B5BB-DBD553C29D37}</author>
    <author>tc={D1EC7DCA-516D-4E1B-8361-4327DE8B8571}</author>
    <author>tc={659EC961-079E-4520-8C7B-2CF63E2FBB57}</author>
    <author>tc={A482C3EC-D91B-400C-9E84-CA46221E2957}</author>
    <author>tc={876C1DDE-6FB6-44A4-AD22-560B87627A08}</author>
    <author>tc={B51B7D6E-B1C5-414B-A09A-D5D42BE442AA}</author>
    <author>tc={2D583582-7CBA-4B41-93C4-92134585A1FF}</author>
    <author>tc={2129DC99-0CEC-4D12-B027-20E7CE86407F}</author>
    <author>tc={B08DC25D-2D39-4A76-A472-0B47F96019D6}</author>
    <author>tc={7C1F237A-CDC4-42AE-8C2C-55C0B295DB31}</author>
    <author>tc={3EDF65DD-257F-43DA-9BF3-03FD9A34423E}</author>
    <author>tc={E1949B4E-9DFF-4DAE-99B0-1E06330C6FDA}</author>
    <author>tc={837ED2EB-D3ED-4A50-AC73-ECF83E2CAE40}</author>
    <author>tc={3EF43AD2-F34B-4B36-8DCB-543AE5F29B44}</author>
    <author>tc={51DA4706-6523-4A17-BF7B-6124CDCB6794}</author>
    <author>tc={17DB8832-C751-410F-8E95-ECED2E2BD75A}</author>
    <author>tc={2480CE5F-791A-4876-920F-25B2BC62C4C0}</author>
    <author>tc={891AAF24-B8AE-4C5C-BE70-EA322A38E4A7}</author>
    <author>tc={DBFFDA15-7F48-4D87-AE6E-382E33898F8E}</author>
    <author>tc={E8FAEDED-EF1E-40A7-9747-30E10DF5A889}</author>
    <author>tc={AAE644B3-C2C6-4AA0-A41E-A7C068B99BED}</author>
    <author>tc={6D6F9769-F965-4EB6-81C4-1C6290ED1964}</author>
    <author>tc={3A363FA8-720F-4C21-BB47-1F4E98F87653}</author>
    <author>tc={7DB45782-23E3-41D9-87DB-D193DA7A9ACF}</author>
    <author>tc={F8E4C56C-982D-44EC-B192-9A76FCD298E3}</author>
    <author>tc={A779B269-F16B-4428-8448-A83A0F7F5007}</author>
    <author>tc={0DA258DC-99DD-4336-A069-00F0C49D380D}</author>
    <author>tc={3C051401-B518-4EE7-923A-2FF73CCF6CBB}</author>
    <author>tc={C49FA9AC-55EC-4A6B-8E66-2CDF68E28D78}</author>
    <author>tc={53A74542-6B3E-4792-A0E0-F19EC636CDA5}</author>
    <author>tc={EF2A33AF-583E-45E9-AD98-61B61915F36D}</author>
    <author>tc={2314B7AF-3008-4A21-9D45-B2ABAE274A61}</author>
    <author>tc={06F58E37-B7D1-410F-979E-C47F5D3F1DFC}</author>
    <author>tc={C2628592-04E2-4B9F-A375-C5803B620841}</author>
    <author>tc={20F56EA5-1334-4556-98AF-24BE222DDBC0}</author>
    <author>tc={DFD1B0A1-35A2-4C93-A3DC-286E3DA64A21}</author>
    <author>tc={09B83279-39CF-4BAA-9406-CFA62C4E2B41}</author>
    <author>tc={BB0ECC6A-5BFB-4244-BF22-0BBA05B97835}</author>
    <author>tc={1DABD4E5-B3C9-4F92-BBF6-ECFF29E81431}</author>
    <author>tc={F269670E-FB4F-4A32-81F9-DF7C2E2E345D}</author>
    <author>tc={9A29D6C4-EDFA-464A-9214-A428F29EA79F}</author>
    <author>tc={0694AAA9-F5F2-440B-A454-D0E3060681B6}</author>
    <author>tc={81B8FCC3-DEFF-409B-A141-114820E6B63F}</author>
    <author>tc={60A7415C-212D-4BCF-A2C0-88B207EBC448}</author>
    <author>tc={21C9A10E-A3D2-42FF-BD97-E204569C4317}</author>
    <author>tc={58A69C82-4B11-430F-8998-C26E875128B6}</author>
    <author>tc={A6D5CE81-D8C9-4BC0-881C-3417AAE833E2}</author>
    <author>tc={61EE18BB-D95B-453B-A455-A85EEF297BE4}</author>
    <author>tc={5B1C1D50-BAF0-446B-859B-4A1240989946}</author>
    <author>tc={D4F3916A-2BF5-41E0-A4A2-693182A2B13C}</author>
    <author>tc={C4FF76CA-665B-459B-8A50-E55FEBD9B0B3}</author>
    <author>tc={B5B6A0A7-465D-44C4-9194-EFBD42D6DEF2}</author>
    <author>tc={829B6E1C-3A6E-41D3-8C21-814DC5F0277E}</author>
    <author>tc={E73B0081-53F1-4F68-AA7B-40E248FA678D}</author>
    <author>tc={DF888E5E-AC3D-49F6-8A0A-574EE190A39A}</author>
    <author>tc={35756256-9EAE-4F85-AD80-04E14C79606B}</author>
    <author>tc={9DF99B90-65A6-4807-9979-8206C6B6B059}</author>
    <author>tc={BA8F767E-1BAA-48AF-BC04-4C74D3201FFF}</author>
    <author>tc={83DED08A-ED0B-4D4D-9C5F-92351E85421C}</author>
    <author>tc={A145A48C-01DE-45E6-879C-C7F3387DEE6C}</author>
    <author>tc={EFC4C8F8-A4C8-4498-8EE3-732E94A52365}</author>
    <author>tc={4FD3DD7C-E707-414F-9DEA-7E1B701ECEF4}</author>
    <author>tc={E883B7FE-FC60-4156-93D9-81F20C4F915D}</author>
    <author>tc={2B44900A-DB04-49C0-AF67-40C84EAB933C}</author>
    <author>tc={22F34FE1-2CE0-4997-A528-2A86EC32707A}</author>
    <author>tc={26B7467A-2AF7-47A4-BB8D-AFA8C4C50410}</author>
    <author>tc={BDE1FFD6-30C9-49B6-9259-778C1BBD7B92}</author>
    <author>tc={2C1F8047-925F-4057-AE82-E5943C555771}</author>
    <author>tc={6287CAAA-AB0C-4FEC-99E0-6F3D3401BAA8}</author>
    <author>tc={1ABF25A3-6FF7-42B3-AF8A-84A38E1A1DB8}</author>
    <author>tc={1BE44906-9983-4EFD-A271-11F5CF322E4D}</author>
    <author>tc={35F8C264-A804-437F-8662-256FA618FE79}</author>
    <author>tc={230F9084-E465-4069-BEA8-4F3B1731BF00}</author>
    <author>tc={660FC154-2ED9-49A7-92E3-0760EB359D1E}</author>
    <author>tc={66D044D2-E1C5-4ABD-9ABD-5CA54E9913B5}</author>
    <author>tc={EC3D3670-8640-4500-8D33-B08A357236B1}</author>
    <author>tc={A9D471C0-7DD2-4EF9-9409-55EDF448C3DD}</author>
    <author>tc={5A61EC81-4616-4C8C-B9F2-41F459FCC169}</author>
    <author>tc={D1F1E6AB-EA0E-46FC-AFBF-014122219C24}</author>
    <author>tc={A917F18C-EF83-4D37-8BC6-5E2838ECACB2}</author>
    <author>tc={5640ECB5-6196-462D-A097-B37586BBFE26}</author>
    <author>tc={D3AB7D7D-214B-4248-A055-3C568E42CF7B}</author>
    <author>tc={163C6B0E-9236-45B9-B4E8-7D01EB80C1B5}</author>
    <author>tc={2F741F26-2202-4F6D-91EE-8FE33525C42E}</author>
    <author>tc={1872A4C6-0CBE-43CA-965F-8D0C8722FDA0}</author>
    <author>tc={31C7E7F4-BB6B-42C8-B487-7C9EE4C732CB}</author>
    <author>tc={D26CBAFD-7960-46C5-8D78-41DF39F5ADC3}</author>
    <author>tc={488CA002-7351-4574-9AFF-BA08E49836C1}</author>
    <author>tc={60156084-C4D8-4826-B65E-F2DEE3E29590}</author>
    <author>tc={287C632A-9F68-4C37-B3E3-B7E3C3A9113A}</author>
    <author>tc={57762DD1-B622-4D4F-BD12-4BA9F2770C21}</author>
    <author>tc={8373AEC1-6485-42C8-BC62-A88C98CCEFF8}</author>
    <author>tc={5BCCBAEB-C0CA-412B-B7A8-ACFEFEC22AAE}</author>
    <author>tc={FD897ADB-82AB-43EA-810B-277479456B16}</author>
    <author>tc={3BBBA231-3915-435D-813F-AE33DD8F0EE2}</author>
    <author>tc={F1C0D4C2-C9D5-488E-8C9E-8789EEB84C98}</author>
    <author>tc={082E557F-73AB-4961-99F9-2FB9A97AD5B8}</author>
    <author>tc={D2BE3B3D-9967-4633-A6DF-FC6F1A4CE78A}</author>
    <author>tc={20AD8A0A-4F1F-4425-ADC8-4111948D1BDE}</author>
    <author>tc={9E5821DC-9EF4-4A6A-8292-6950D7E123EF}</author>
    <author>tc={E96FE081-6641-4427-A322-A052393033A8}</author>
    <author>tc={262DBBC4-8B13-44BA-8ACA-97B3A2DEEFDE}</author>
    <author>tc={7EEF5FB8-5D6E-42C6-B453-95E703F1EA14}</author>
    <author>tc={8704902C-6020-44EF-9DE5-54A283A6D7EC}</author>
    <author>tc={5FF59132-E62D-4502-915A-3687CDDAFCED}</author>
    <author>tc={E62DE341-10A4-4D56-A35D-E38D88771C34}</author>
    <author>tc={CCDB022E-8AF6-4CA2-A134-BE4714F060D0}</author>
    <author>tc={BBB14B5C-69F3-46CD-83EA-E6F87848D7E6}</author>
    <author>tc={E9F5A7BD-F7AE-4503-8DC1-3611BF7ACAF1}</author>
    <author>tc={F38A5C1A-9682-43E2-BECB-2DBAB6F1876D}</author>
    <author>tc={7804A5A8-BAA0-4001-8F1D-ECEBF3C54BDB}</author>
    <author>tc={0DFA42F7-E1DF-4514-99C0-2C9F67D92113}</author>
    <author>tc={3F3F9C51-4283-4669-B807-302767A4FD5E}</author>
    <author>tc={5EC1B64D-5FE5-441C-86B1-3CE385D79206}</author>
    <author>tc={0A24522A-D7CB-4883-B29C-B71DA2318A54}</author>
    <author>tc={AA115BEF-9E2F-4038-BA8E-B2AE1D8AF998}</author>
    <author>tc={EF24BCE5-C0C0-4ADD-946B-F7543787A1B7}</author>
    <author>tc={CB49E4DF-25B4-46E9-B413-E11801EBB775}</author>
    <author>tc={C15990E2-33EB-4621-9673-CF260EE73B52}</author>
    <author>tc={14404586-E6BB-4C3F-A388-FEA390461E0D}</author>
    <author>tc={CF9F84D4-60D5-434A-8DF3-9F0A6631096A}</author>
    <author>tc={A8BAAAD4-0FE6-47EC-BF47-F9454B097604}</author>
    <author>tc={712D65C5-8FC3-425E-8865-EFC36C3746EF}</author>
    <author>tc={5F7E9510-0E9C-42D3-B6F8-D60EA24FD13E}</author>
    <author>tc={BCFD9F97-4E55-4E6E-975B-BA2712835DEF}</author>
    <author>tc={7C028924-A523-42F6-8CAA-4FEF8CB06D7B}</author>
    <author>tc={D9399FDB-AA03-4DE3-BF4F-258AAE0D0485}</author>
    <author>tc={ED27D929-38DC-45F7-8656-72BCD4018F9E}</author>
    <author>tc={9CEEEC8D-BC26-465D-925D-C857C1E96837}</author>
    <author>tc={0308B6D8-837D-4183-9ECD-D52AEE014133}</author>
    <author>tc={B3E5E300-2ED0-4183-8C85-9F584767F586}</author>
    <author>tc={7E4E3BD4-03B1-4E2A-B1A2-19B3C60B67A3}</author>
    <author>tc={59761DE6-CB3E-4E24-B065-B6A4E8B0727B}</author>
    <author>tc={1304AED4-226E-4B1E-95B1-AAEA7D34231F}</author>
    <author>tc={A937F7BF-F866-4774-BD9B-02D27A8A3028}</author>
    <author>tc={14127FA3-F853-413D-86F0-F0170E5708C5}</author>
    <author>tc={0E176C78-36F9-4620-830B-1CBAAF770D62}</author>
    <author>tc={7D6D52E6-5586-485F-B6CA-6E89E0503EA0}</author>
    <author>tc={5E18DD4D-2039-475A-8470-115DBB871CBA}</author>
    <author>tc={BB5CB502-8484-48D0-A281-14F673E44783}</author>
    <author>tc={2ABCA358-2C5C-4F19-BB2F-E72CE518849B}</author>
    <author>tc={0C6665BE-8603-4567-9989-F4C20044DD80}</author>
    <author>tc={986B4077-5F8B-4C68-9DE1-B958514544AD}</author>
    <author>tc={A10AD484-E22F-4C20-BA54-5C63D1E2A173}</author>
    <author>tc={0DC96BD8-B77F-4989-9CBC-4E3BC9D125F6}</author>
    <author>tc={183B3EA6-1A1A-4C7A-A95D-DD4F806DCF3A}</author>
    <author>tc={DEB20BDB-C704-424B-9C98-6A9C888C10A0}</author>
    <author>tc={D4EE4235-D631-4CA1-9C33-961153A395F4}</author>
    <author>tc={7134D6B9-9644-4E9C-9816-54FBA2DA091A}</author>
    <author>tc={8B28A22C-D0DC-4405-9C49-0493D96200BF}</author>
    <author>tc={9622386F-542E-4751-AAF2-85A84C03DDD3}</author>
    <author>tc={6607FA1F-EBE4-4F8F-A8A9-F15E3706F66F}</author>
    <author>tc={4B4C5F2E-4356-4643-B562-8980DC9B2F14}</author>
    <author>tc={97122D1A-277D-4390-B57C-81506755F56F}</author>
    <author>tc={8DB6AC3A-600E-4CDF-AE97-A95DAD925E99}</author>
    <author>tc={C02A3A6F-3EC0-479C-9A37-7978F6383E1A}</author>
    <author>tc={7B186774-1CA1-4B85-AE1F-D0292A7309C2}</author>
    <author>tc={BDCC3F4F-FFA5-465B-A72D-27D3D2E85CC4}</author>
    <author>tc={331045D8-2C41-4E5E-B6DC-61170DCAFA09}</author>
    <author>tc={810480EE-3556-4672-A31F-D52FEF5D5F0B}</author>
    <author>tc={9E523A4A-8254-455F-A561-4062F611F413}</author>
    <author>tc={C98FC3AD-B4CC-42AB-9CDB-8A71BD5A5B63}</author>
    <author>tc={7D7F3AD2-4517-40D4-B864-01E4F9C813C3}</author>
    <author>tc={58C83A68-E345-479E-AD59-58E69AEA7C65}</author>
    <author>tc={BA6DCD80-FE4D-44B8-8D4E-2F8537B15DA2}</author>
    <author>tc={2183FA90-DC84-4C35-A2AB-7B01A18A27AC}</author>
    <author>tc={74AEBB7C-E26B-4735-ACEA-EEA62FCE7868}</author>
    <author>tc={88E069DA-830D-4A97-A719-95922A566DE2}</author>
    <author>tc={B898B6FE-48FF-4664-85B0-B79673C598D7}</author>
    <author>tc={0FA0765F-CAA1-40B5-AA8B-01A58DD9D485}</author>
    <author>tc={2817BA43-E0A6-4543-A41E-6047D812F05A}</author>
    <author>tc={ABCBA5BE-20BF-4819-AC05-4283BE31D94C}</author>
    <author>tc={BC9EA41E-706B-40B5-8978-91D722F8B314}</author>
    <author>tc={047F376D-2B0B-4247-96A2-AB25CFD501E8}</author>
    <author>tc={9C935BC0-3A41-46B5-87F8-CE2C1229A352}</author>
    <author>tc={46C8F6C7-68E7-4B03-AFAC-C4CB3E887B32}</author>
    <author>tc={F09777D7-F64B-49FA-8EE1-3F49E2F27C20}</author>
    <author>tc={22BAB610-A4BC-4E74-85CC-46F084AA9673}</author>
    <author>tc={76090834-2A20-4BB7-BC31-74F8596D7F6A}</author>
    <author>tc={41D11ACB-715C-4611-9960-3E64B8EB64FF}</author>
    <author>tc={4123DB7D-A240-408C-9661-D8BD72CBDD05}</author>
    <author>tc={15715B22-D156-4E91-B319-BB527836963A}</author>
    <author>tc={16110649-B5E2-408E-A05D-2ABF9362AF83}</author>
    <author>tc={C706D89D-941F-4A28-BF24-A7E6BAAA1A20}</author>
    <author>tc={3D11F2A0-EEE4-4F99-A975-F35A0DFEC7B9}</author>
    <author>tc={B141D939-4A7A-4ABC-9A6A-89581470852C}</author>
    <author>tc={19575421-0214-4554-8AFD-134D093F5C02}</author>
    <author>tc={D883570F-D80F-4904-8998-9A6AE59A543F}</author>
    <author>tc={8251D51B-E038-4E57-9F1E-FB033EB5064D}</author>
    <author>tc={83B111AC-7818-4756-ACC5-4523F87AA875}</author>
    <author>tc={05741705-8AA1-4A2C-80EC-02311F36EF47}</author>
    <author>tc={EB0333F1-0FF0-4FB0-85BF-7D8DBF81F478}</author>
    <author>tc={BBFD7D52-4908-4279-985B-24D58CBFB2FA}</author>
    <author>tc={899B73F4-9407-402E-A8CF-5F7613D9D9AB}</author>
    <author>tc={AD07A594-0CFB-4A45-B7B6-FC87E4B2A577}</author>
    <author>tc={FE65B333-6C8E-4703-A21E-CE358665BF02}</author>
    <author>tc={CEACAD0D-98A4-4E8F-A6A8-1C9C9464D620}</author>
    <author>tc={FD191045-F6DE-4BEC-9BC5-51FE6119D4DC}</author>
    <author>tc={A5511320-0A72-4F5D-9F26-BBE9C537CF4C}</author>
    <author>tc={1921EB19-DBD3-47BF-ACD7-97304898D429}</author>
    <author>tc={0E52C7BA-F17C-4BB0-BF69-8DFE049456FC}</author>
    <author>tc={3F04D297-35F0-4DA0-BF7A-D5D988C49B09}</author>
    <author>tc={6C7731E2-1553-4A06-987C-2295E0BABCC2}</author>
    <author>tc={9A5DD18A-EEFF-474E-8351-98ACA48A481E}</author>
    <author>tc={38D4C408-091D-44AA-AC6B-E860C8A5450B}</author>
    <author>tc={D48D47C0-C0D8-4C81-BA24-216758CE2868}</author>
    <author>tc={E927E9B1-A990-4DB6-833E-CAE8D1108C50}</author>
    <author>tc={CBDB0FD1-E9B4-4501-9EFC-91318C4C44EA}</author>
    <author>tc={8F9B7FF8-79AF-4956-92E2-4FC5E3E7B795}</author>
    <author>tc={28D636AA-B78E-48E4-86D7-7C786FD2FABD}</author>
    <author>tc={8B8F0C11-D1E4-4E36-B142-99ED201B6122}</author>
    <author>tc={CB97EBEA-3701-4854-88E1-6B90977D2304}</author>
    <author>tc={9F5E0A44-E1E1-4EA6-A7F7-CB7915FC7D76}</author>
    <author>tc={F73DCE18-6AD4-45D8-85D3-6AF1F5B26043}</author>
    <author>tc={2B8E12C5-C940-46F7-B9A5-E77B1AEF4CE0}</author>
    <author>tc={63C70BB0-E6D4-42ED-B8C4-E446B6F4FEE2}</author>
    <author>tc={516FD462-9833-4D7B-8A2A-E0753387E1E9}</author>
    <author>tc={09250937-E49F-4A91-8B9E-106E4FE43D68}</author>
    <author>tc={FC81F4DE-A6FB-471E-A8B8-44BFEB23EB92}</author>
    <author>tc={4852ECEA-F285-4FEF-A508-7C52B9A838F8}</author>
    <author>tc={68EFFFA6-48A7-4470-B515-07C3CBD0C29E}</author>
    <author>tc={99728075-884B-4DC4-BC84-30E3C141CAC6}</author>
    <author>tc={2920FA93-0DD6-463F-8B21-27742307383F}</author>
    <author>tc={4FC72719-1BD4-4359-987A-AA5B45C6CE5B}</author>
    <author>tc={54F01970-C87E-4703-94E6-B15D38F0B4BE}</author>
    <author>tc={39BB016E-376F-4F45-A994-2A46E0FAF22C}</author>
    <author>tc={2D323883-C39C-439A-80A7-EEB9259FDB16}</author>
    <author>tc={7C3B4519-197C-482B-A2E4-CCE9981AADBA}</author>
    <author>tc={BB42E0A5-C0E7-4BBE-8920-EE671667A846}</author>
    <author>tc={5BCB0782-E9C0-4F27-B77C-80D3EFF5B807}</author>
    <author>tc={54756547-A6C8-4409-AA45-8A4573DAA1C2}</author>
    <author>tc={336663D6-7B30-4C67-8C41-3A922AA371F0}</author>
    <author>tc={9B851B35-A550-47B3-8D2C-3B0904FD4F83}</author>
    <author>tc={F9BAD4CD-EDD4-4799-A079-DA3058D9FCFA}</author>
    <author>tc={9CF32597-2B1F-413B-9BF8-A797DCFE967D}</author>
    <author>tc={2E914006-2F8E-4408-92D4-07D4A30C6856}</author>
    <author>tc={16CB2836-DE7B-49A2-9BB7-DC04602C9935}</author>
    <author>tc={E5D8FAFD-BAA0-464A-BAC9-E5F6AC0511C4}</author>
    <author>tc={AA7E61B9-857B-444B-B241-77B152851EF7}</author>
    <author>tc={1BCE1CB8-F7CC-4A13-B06D-78CCC004E6A2}</author>
    <author>tc={4CE6689B-FC11-4D5C-BFBE-FC6995FDAF7A}</author>
    <author>tc={44F98C0E-4AAB-4DF7-A81C-11979BF72AB5}</author>
    <author>tc={247746E2-CDAA-4007-894E-7E7972C972F1}</author>
    <author>tc={4E84FA0E-BFEA-44B4-91DE-6B530CB2FBF7}</author>
    <author>tc={18D476D6-1006-42F0-B751-9DE35C677557}</author>
    <author>tc={F9AF869D-6365-4D04-8656-968466C281F1}</author>
    <author>tc={1BBD5EA9-9093-4B2C-B897-4E09C887E071}</author>
    <author>tc={87B80A74-07AA-4309-970E-FCEEA5BE70A6}</author>
    <author>tc={04380BEB-DC0D-4215-AA24-E1F9A4C8E8AB}</author>
    <author>tc={D9E4408A-B633-4DF0-BEB7-64A44E47C299}</author>
    <author>tc={3CABDF84-88A8-4A7A-8029-899746DB2C87}</author>
    <author>tc={D4A6D2E9-A28F-4448-A7FE-674961398FCB}</author>
    <author>tc={F3953368-4A4F-4CF8-8DEC-6066088495E9}</author>
    <author>tc={670F844F-799B-4175-9E96-56E15DA984D2}</author>
    <author>tc={759144AE-6576-4236-9CCD-4A696BE0F9F0}</author>
    <author>tc={DFFEB0E7-C768-4A9A-809D-108DFB86E0CF}</author>
    <author>tc={016F0C64-E44F-4135-8017-09547EC5E651}</author>
    <author>tc={024C5B05-2796-4DEC-AA50-2FE854858B18}</author>
    <author>tc={F2FA719E-7F49-4998-A238-F759E60968DD}</author>
    <author>tc={FACFB225-DA5A-4076-9F04-A1A002099E8B}</author>
    <author>tc={51184FEB-7069-4A39-BC3D-87FEEB45516C}</author>
    <author>tc={3BD49A57-F9B4-4755-B3C0-63A709F0E13D}</author>
    <author>tc={5A13BFAD-02F7-449C-AF35-B7673672B2B9}</author>
    <author>tc={BFEB3E46-B69A-4905-81C1-1C3F5A93A568}</author>
    <author>tc={87C14C6B-A35D-42F7-8BA3-81A106FF6F15}</author>
    <author>tc={C5CA75F7-5390-4249-8544-76129DD499FB}</author>
    <author>tc={EF5838CC-8EA7-4B1F-ADF5-6093EB9A3202}</author>
    <author>tc={2D966FF3-A800-4BE9-94DD-8B53C441F709}</author>
    <author>tc={48195C94-4C31-4E66-B45D-6920F0879B44}</author>
    <author>tc={8F1DFB40-CB4F-41C3-BEB6-0CE7A0F9FCE4}</author>
    <author>tc={6A7BB23D-9830-485D-A4B1-328C10248D6E}</author>
    <author>tc={55713234-8B45-4282-9AED-AB8404C4B33E}</author>
    <author>tc={BCA72E7D-CB32-4D53-BCE4-BDAFD6E3ED6D}</author>
    <author>tc={FD994083-9B52-4703-A5E5-ACD3E666D09F}</author>
    <author>tc={0FF9F6FE-C16B-47DD-BEF7-027F825EDD6A}</author>
    <author>tc={0B3D5DB9-2466-4FC9-920A-EB4CC8BC07C8}</author>
    <author>tc={EFDDC0F8-64A2-4A5A-AE8B-1A74980C55C4}</author>
    <author>tc={865FD3C1-A314-4719-BE7E-FEA434BEAFBF}</author>
    <author>tc={D227749B-C9B0-4778-95EE-F83D86E8949F}</author>
    <author>tc={AFA25C43-DCAF-4F0A-BC60-F4B63D9FD2A2}</author>
    <author>tc={AED2FFD1-4AEE-42AA-BFA3-9293E57A7FAC}</author>
    <author>tc={BFA59C6B-F091-4450-8836-7871CD35066A}</author>
    <author>tc={DE706BA5-868F-4417-9664-827B8245EE2D}</author>
    <author>tc={52B2E28B-F118-4199-A331-581D7CD04F3D}</author>
    <author>tc={22D8E9D3-8363-4D4A-B9DC-261E9EE8DFF5}</author>
    <author>tc={D7ACAF14-A5A5-46E2-A91E-8B2774C41C93}</author>
    <author>tc={C17B7AD3-143B-43AF-BC34-904099462823}</author>
    <author>tc={1D343629-2E27-4551-AE2D-422307E97B56}</author>
    <author>tc={67921967-2719-4220-976E-09DBA1F9A9F5}</author>
    <author>tc={62667537-A14A-48B1-96AF-907A5F8B038B}</author>
    <author>tc={EDD6F8E6-23D8-4F02-AC70-6409A8D9B0AB}</author>
    <author>tc={004CC5CE-E7C7-4F37-89B5-3052FE2D6C9B}</author>
    <author>tc={02585302-8CAB-479E-AA83-00E903A8C897}</author>
    <author>tc={92AE3C56-1261-482F-A6C5-801BDD62419A}</author>
    <author>tc={AA9FD81E-7D6C-49A3-890D-6484C0DB9586}</author>
    <author>tc={36C58269-2389-4511-879C-EFE60969F43D}</author>
    <author>tc={327DF306-EAC0-45FD-8413-F404A48A9597}</author>
    <author>tc={BEC0F675-85F4-435B-BF6F-AB84C8C77FFF}</author>
    <author>tc={3AB584D0-5B13-48D3-9587-7646682555BB}</author>
    <author>tc={A35A8509-D4CA-4C4F-853D-7B7CB8DE5A38}</author>
    <author>tc={6CC6EE00-D4D5-4AF2-8BE4-C213DC3762D1}</author>
    <author>tc={ECDA91DC-297C-45E9-8B83-0E80FC684A37}</author>
    <author>tc={A6EA14A6-7847-4D7C-AF6B-BFE029A90956}</author>
    <author>tc={86088B04-8593-47B0-B71E-4812E98D90E8}</author>
    <author>tc={3DA1AD87-B719-4F54-9E9F-F7B6525BFF75}</author>
    <author>tc={0727DF12-752A-405B-8B88-88549944ED5B}</author>
    <author>tc={5528C7CD-2CC0-4774-AFC8-CBAD0853D4C0}</author>
    <author>tc={FE85FFBE-7AAA-4C83-AFF5-9FF97E61936E}</author>
    <author>tc={BF103E93-0FAC-4462-AA83-F4588E3B71F3}</author>
    <author>tc={9ACBD106-60B4-4997-AEFF-117E21A4B6F8}</author>
    <author>tc={8DB3CEDD-3F24-452F-9D72-3C0E1AAC2FD5}</author>
    <author>tc={17E4C3CD-5D31-47BB-9593-54AFB3343532}</author>
    <author>tc={B09966DC-6518-44AA-BA4F-9E7D88CC60A4}</author>
    <author>tc={A29E85AD-EC4F-4541-A233-4A5D83BF599C}</author>
    <author>tc={E4ECF541-8C1E-44C1-ACA5-91203B0A4D77}</author>
    <author>tc={8DB3CEDD-3F24-452E-9D72-3C0E1AAC2FD5}</author>
    <author>tc={13761EA2-F6A8-468B-B791-DBEFED111EC8}</author>
    <author>tc={A4710E68-8778-4AC7-B4FD-338B8EE9D19B}</author>
    <author>tc={09F56563-648B-4065-B9D8-C621FB6C44EF}</author>
    <author>tc={859A634E-E40F-40D8-8E36-363AB79CDEBA}</author>
    <author>tc={763324EE-2420-483B-A262-1B32E41D6A94}</author>
    <author>tc={BACB2C0E-19AC-4A08-A1AC-BAB734E9DD9B}</author>
    <author>tc={FF00A9B2-3367-41E2-9E66-117131B7EAF9}</author>
    <author>tc={40E3778C-B6F2-4797-B3E5-842A9ABF307D}</author>
    <author>tc={3AF966BF-1A40-4AF0-8267-30D6339ECBF4}</author>
    <author>tc={7A81660B-128C-4948-95FC-6D2C9CAB8615}</author>
    <author>tc={C107956E-2898-45FF-B38F-58E1FEB7C138}</author>
    <author>tc={3851B3D5-D4A9-4FF4-9887-88628C9F7B4C}</author>
    <author>tc={52C26DA6-6A69-4471-A530-A775C70016EC}</author>
    <author>tc={72B6A7EB-292B-4528-ABD0-0749D4F85FB6}</author>
    <author>tc={9948E9A8-226D-4A80-B7EA-90293376E5FB}</author>
    <author>tc={1B6DC303-C17F-4B9F-9659-1F2E116D423F}</author>
    <author>tc={620859AA-2419-49B8-B83E-FD89983771FE}</author>
    <author>tc={E3B02861-D571-4D67-803D-1BA3AB6ECB10}</author>
    <author>tc={5E35011B-AA2C-4B8B-98F0-EB7E48FE0935}</author>
    <author>tc={544F261B-BAA8-43FF-85C5-DC3571F8AD69}</author>
    <author>tc={8A47DAE9-C794-4096-9230-83EA8BB5B6B4}</author>
    <author>tc={36B81F83-DB56-4004-A5E3-6A5C7FFA6A45}</author>
    <author>tc={BE48173A-FD17-48B7-AF28-9E82C5D734B3}</author>
    <author>tc={E7882F2F-8922-46DE-81F0-771FEC4B9680}</author>
    <author>tc={3F8DFA2B-CFDC-4D32-AC84-A6AB31EABC5C}</author>
    <author>tc={45A11243-401D-4537-A135-EE317D43EABF}</author>
    <author>tc={FA064DFB-A6B2-4868-8548-0B0650CF5E54}</author>
    <author>tc={19BBC231-A972-4F52-AC00-D171646E0885}</author>
    <author>tc={1D2812A2-1777-4325-9054-3BA92A66B89C}</author>
    <author>tc={F8BF0A99-6ED9-4DFD-AF11-50B4407BB480}</author>
    <author>tc={28428A07-E44D-432B-90CB-E1D2C24290BC}</author>
    <author>tc={C25C0ABD-59CF-4314-92D9-2F559457F622}</author>
    <author>tc={AC9810AC-C773-4D44-980C-97C4F5E13C9F}</author>
    <author>tc={38A408BD-A272-439F-9461-C7FEE899FCD2}</author>
    <author>tc={2EAD8F81-2D16-4260-BC51-2B769103F26D}</author>
    <author>tc={090AB19C-B5D0-4882-BC2E-D14E63D99E5C}</author>
    <author>tc={2FE3F821-F8A0-45FC-A38E-0FF90781526B}</author>
    <author>tc={A627FBC5-38A2-4290-9483-6FD88813B856}</author>
    <author>tc={9B1824E6-214D-4F10-953C-5A407358C49A}</author>
    <author>tc={CC551CAF-8D33-40DD-AA47-6E239BCAB44A}</author>
    <author>tc={8F30D7F4-5763-448F-87F3-4AA7F6273BB6}</author>
    <author>tc={580CB986-9638-460D-9837-F3521D2B16C8}</author>
    <author>tc={6A5B1ADB-061C-46FB-B637-80E564DD6A8A}</author>
    <author>tc={3F611F59-4D36-4F1D-B266-2D529203FCAD}</author>
    <author>tc={45DB89D9-FB53-4C5A-95C3-B7A25A419623}</author>
    <author>tc={956090AF-C58C-4D02-9827-004BEE0A40F5}</author>
    <author>tc={BFB37794-DF88-4688-944D-1EA7C803F808}</author>
    <author>tc={0983EF2D-B0FB-41DD-8897-0A7BFB44451B}</author>
    <author>tc={C00EA42A-9923-40E2-9C51-5994BA12BE92}</author>
    <author>tc={E8C8E96F-943F-47E8-8B40-C3C72A167A42}</author>
    <author>tc={36F581AC-E35F-44E1-A5D6-A6A216ECCF60}</author>
    <author>tc={C6F3F41B-C361-4629-A126-40F7B1398A8D}</author>
    <author>tc={5532981C-BAAE-4654-8DB1-E2D90C35B0CD}</author>
    <author>tc={0C10DAA9-AD1E-4FBF-BBF1-6C89D2BA1073}</author>
    <author>tc={59531FA4-A906-4F8F-BEFB-48BB1AF2B5D3}</author>
    <author>tc={DBBFA0CA-B2BB-42E4-B74F-727B3D50B089}</author>
    <author>tc={4B3D5914-D57F-45BB-BEB7-CE4371893915}</author>
    <author>tc={46A34A95-599E-42A4-9A66-CA2FDF137774}</author>
    <author>tc={5A83CEFA-E534-4758-B287-635657200AB2}</author>
    <author>tc={8EC9B157-0AED-4AFF-B328-C8AF25D2CA7B}</author>
    <author>tc={F3DDEBA6-55B0-4123-901B-73A6F9557689}</author>
    <author>tc={65C8E0E6-D8CA-46B0-9237-C239578F9B97}</author>
    <author>tc={C6E2EDA8-50BF-49F2-BE69-1ADB649A5AC0}</author>
    <author>tc={9CD5DB1D-F12A-4881-B146-D220522205BE}</author>
    <author>tc={D131373C-20F6-4022-9646-11F51F69DDB1}</author>
    <author>tc={8205B6F3-3A1C-4590-8BE2-19D964588A60}</author>
    <author>tc={48FA0BFD-A7E9-4EBE-AFC8-4E9BFDF0CF9B}</author>
    <author>tc={81A29C54-CB23-4598-9180-5D5239401BE7}</author>
    <author>tc={36F2C149-6443-482A-962E-1F81361454A1}</author>
    <author>tc={08CA58FD-F395-4756-BAD7-1229E5F20E6B}</author>
    <author>tc={8E952A22-8376-4D42-915C-FB3725C09F46}</author>
    <author>tc={305BFB1E-6C86-4DE4-99F5-02CBD118BFA7}</author>
    <author>tc={ED130491-C483-49C6-B15D-8481173D6CB3}</author>
    <author>tc={132C1C7E-A6A2-45F2-82B4-CAA32A784B4F}</author>
    <author>tc={43C557AE-1A13-4FDE-9ACB-504D2923CA64}</author>
    <author>tc={964E7C20-984A-409C-B2C0-4C667875D857}</author>
    <author>tc={B377F205-8E50-41B5-9A67-C43A7B8E4E31}</author>
    <author>tc={0186B4F4-C8A5-4FB6-841A-746DF22837ED}</author>
    <author>tc={5FF41A5B-B600-482C-96C0-10960E6FB69A}</author>
    <author>tc={AAFD3945-1840-4588-8471-982E0BCBF98C}</author>
    <author>tc={3F0FAF8B-1864-4E8A-AC26-2C09601449EB}</author>
    <author>tc={70E815BB-ED32-4B28-AB7B-609281D013D5}</author>
    <author>tc={39441A09-D5CF-491F-9CD2-CD80C57F92FA}</author>
    <author>tc={FB21ECE5-BFB8-4536-AADB-309FDDF2A8AE}</author>
    <author>tc={6C3FD0A7-8039-4D81-8B71-72F70008E0A5}</author>
    <author>tc={034A9B1B-AF71-44D6-93F5-240F215DFB0C}</author>
    <author>tc={7068BC75-2486-425C-84CA-FBA21AF4DBBE}</author>
    <author>tc={5975D92A-5CF1-4F0D-A1E3-9F16F2253F1E}</author>
    <author>tc={51070844-F3F0-4B4E-9FE6-38F2CF5FBF73}</author>
    <author>tc={703A1EFC-8446-48A4-84FC-B4BF567CEA49}</author>
    <author>tc={F5E09A3A-9434-4D8E-8955-FF3496DF478D}</author>
    <author>tc={518780C6-F205-4AAC-AE2D-CF94AA410B29}</author>
    <author>tc={9216E5C9-FD5E-4D51-938C-688123F92361}</author>
    <author>tc={89602BE2-35BB-4ABB-AB0D-F7AE4A4B02BA}</author>
    <author>tc={0086A312-2487-4A90-A5E8-8DAA9A20809D}</author>
    <author>tc={25EC9832-9983-46AA-9DC9-474BF420F327}</author>
    <author>tc={D6697663-FA14-4C0B-843E-2D9D08B407D4}</author>
    <author>tc={096BD64F-AD8A-4098-A7DC-BC969307A618}</author>
    <author>tc={CDC451C6-93D3-4BEF-97FC-6BF025A3DCB2}</author>
    <author>tc={A149CF28-1F56-452A-A1E8-4FACC5265AF9}</author>
    <author>tc={49AC3728-D181-4912-AE31-AC6A4B067511}</author>
    <author>tc={541C687E-1E02-48D6-89A4-D3C85E2CDD91}</author>
    <author>tc={1222C8C7-FD8E-42A2-91FD-72888A89922E}</author>
    <author>tc={A7E37FC1-45B8-4EFC-82E6-477081BF9902}</author>
    <author>tc={65F68F45-C45D-47EE-ADF4-B16330FC5051}</author>
    <author>tc={C6FA7EB1-21A1-46C4-B53C-1A54E7982747}</author>
    <author>tc={9E40BADD-238F-4A22-8C65-A942384C6957}</author>
    <author>tc={21E28629-4DD1-4031-B1FE-E19FEC2BEF1D}</author>
    <author>tc={9128AD59-BBF9-48C9-BF5F-8AE3B0475F7B}</author>
    <author>tc={8295F3A9-CCF5-4512-B7AF-924F022B1061}</author>
    <author>tc={469CDE2E-2281-4547-B59B-6B7026E3EA8B}</author>
    <author>tc={B85495DF-A491-4603-9E70-600042B58DF9}</author>
    <author>tc={F1863A38-6DF3-4320-9779-7AF63C8DA302}</author>
    <author>tc={9081F21A-7B36-4436-A4ED-C55A737CD32D}</author>
    <author>tc={D70ED845-978C-4D7B-BCA9-E0AD11227ADE}</author>
    <author>tc={6BF43BFB-8F05-4BF4-9E89-E0AA8E6424A1}</author>
    <author>tc={D33522D2-C69B-4290-A183-A7E887DA13AA}</author>
    <author>tc={25772411-6E4A-45CD-9695-E972AA4961F6}</author>
    <author>tc={D723C883-95FC-485B-B747-D297417C425B}</author>
    <author>tc={226C0105-DE6E-4246-B70A-57B386C3B51B}</author>
    <author>tc={9706DC79-9D0D-4600-B925-E7FA8F849358}</author>
    <author>tc={36DB25C4-DC8B-444C-92E5-92D7FA67BD13}</author>
    <author>tc={09C807D8-613F-4598-9E2E-FB33800E07F1}</author>
    <author>tc={07568BC8-B794-463E-AE07-551A4A3528A3}</author>
    <author>tc={BB4153E7-5ACF-4F62-88FC-0FF491FE0017}</author>
    <author>tc={6D42E4DF-4215-4768-9549-16DB115BBFDB}</author>
    <author>tc={15D55866-2F52-44D9-A881-C9D5340BA680}</author>
    <author>tc={9B8A614F-5E9C-42A7-A653-B65C7E40741D}</author>
    <author>tc={6E3A7C3F-7084-43A6-AD10-7120950D2BA2}</author>
    <author>tc={D51EE103-2E54-4A62-98CB-852EAEC1D71B}</author>
    <author>tc={A036B23E-CB87-46E6-A910-ABC90F4D23D9}</author>
    <author>tc={5E214665-4484-4518-92B1-6E5C78510A60}</author>
    <author>tc={00EA78E5-BBCD-4254-BB9E-0F833800C6A5}</author>
    <author>tc={538E5A81-03D8-4F5E-B394-A3ECEAD8ECA2}</author>
    <author>tc={D44757BA-7A09-4045-8266-2800CED7B113}</author>
    <author>tc={CDA007D2-1908-40D0-AFAD-0C6D071FDA52}</author>
    <author>tc={194DBE2C-0DEC-43E0-822B-00076559CFCD}</author>
    <author>tc={2F2A4888-3486-423B-8844-3D1D514C7FC0}</author>
    <author>tc={2EE20B5C-7E12-4BDE-922A-93EC2AD6DA88}</author>
    <author>tc={3D846E5B-2CC3-4226-A814-D91915CB27A8}</author>
    <author>tc={013CA357-B7D5-4F1F-A700-B0344549424D}</author>
    <author>tc={82695092-8C4D-4F5F-AB5C-60331E6FDCC6}</author>
    <author>tc={E7633CFA-D5BA-4418-828F-88D8B7AB9BC6}</author>
    <author>tc={73600B03-85E3-4A05-BA2B-52DEF80F1F8E}</author>
    <author>tc={019B6439-0302-4D0B-AA0F-683A753272AB}</author>
    <author>tc={69A4A2EF-1F6A-4F8E-A2B7-0CAC2CD18E41}</author>
    <author>tc={6A839641-493F-42B7-A151-21219774EF43}</author>
    <author>tc={AA71D19B-FB40-47C2-AE4C-C08E87C4CBA3}</author>
    <author>tc={DFA1A2AE-1F12-48FE-809A-4B596D7A0AD1}</author>
    <author>tc={2D943FEE-6601-4553-A4C4-47693B5F14BA}</author>
    <author>tc={7C909874-5C63-4264-AA1A-BC596A532D2A}</author>
    <author>tc={3D51090E-EBAC-4BD9-A254-1034E9EE5145}</author>
    <author>tc={141AC981-B7B8-4BD9-8C2A-D7C13D9DB2B1}</author>
    <author>tc={A3E82910-6DF0-4802-B469-975128A5DB51}</author>
    <author>tc={74BAA175-5FCB-499A-924B-A521CF74202F}</author>
    <author>tc={FA202D91-9ADD-4E1E-8F98-77D80F213C97}</author>
    <author>tc={EFE20A47-B197-425F-AA89-E0AFDD9DFDEB}</author>
    <author>tc={D5624662-A1D8-41FE-A850-3F8D86110AC2}</author>
    <author>tc={145568AC-275C-485E-8BBB-B4C6C7D8789D}</author>
    <author>tc={C9AA4DF4-54FD-4E38-8E85-6AD23612D998}</author>
    <author>tc={EFCDE58D-3D55-40F6-9499-50FF91AF6B5D}</author>
    <author>tc={B6CFF186-C14A-4B13-A18E-57E38E89A063}</author>
    <author>tc={B40EED90-FDB1-46E8-B95C-E59ACD24E116}</author>
    <author>tc={A7291686-9713-495B-8522-00805E27BBF1}</author>
    <author>tc={266B783F-9639-43B9-A086-87910625640E}</author>
    <author>tc={3DCB3F55-94BE-4A75-A0C9-84DF517AF2F6}</author>
    <author>tc={3117D771-4C40-4A96-A444-7E0502364FE1}</author>
    <author>tc={2F147020-44D4-4874-8DF5-318127BB8492}</author>
    <author>tc={DBA44A56-B540-4ACF-94A0-7FE345BF8A16}</author>
    <author>tc={4CFD1A76-F265-4982-8404-1B56CEABB8C5}</author>
    <author>tc={462A1AF2-A545-420F-A1DE-54154B8A5905}</author>
    <author>tc={FCA04934-B234-4475-9C35-58E8010529C7}</author>
    <author>tc={122D1F56-05A1-4833-B495-88973BA7552A}</author>
    <author>tc={76F5B77C-84BF-44E6-8347-F53C38279E59}</author>
    <author>tc={B0F4E7E9-8779-4817-854E-736165E1D5ED}</author>
    <author>tc={A356765D-3D5B-43C3-8ED6-0C22BAC2505D}</author>
    <author>tc={8BFC1799-E2E9-487D-8C1E-E82B3AC9AFDE}</author>
    <author>tc={2F7228AB-C291-4D4E-A878-9907EAF346DC}</author>
    <author>tc={5019BEBB-8264-4192-BBF1-4F8DE6DCD039}</author>
    <author>tc={4EC77535-ABCF-4689-BC5A-DE752FC86407}</author>
    <author>tc={6619F70F-E730-466D-A4F2-C93CA3CA2F78}</author>
    <author>tc={0F4FEF61-F764-45BE-B022-BF6561E2DC4F}</author>
    <author>tc={C0DD8506-B2A9-48B7-B522-C2B3735DE9FE}</author>
    <author>tc={6DAE2519-D5CC-445D-8BC7-67E43EBB850B}</author>
    <author>tc={C0BD3CB6-DFD1-4F66-8698-04956BA1699A}</author>
    <author>tc={2D9E1B21-E97D-4989-AB5F-8A9DE5524789}</author>
    <author>tc={73E9892D-7A72-4942-9748-B34D1310EF07}</author>
    <author>tc={F2C3E9DA-088D-46BC-9C9C-36CF5CA68259}</author>
    <author>tc={CF83E327-9A6F-4C37-AB40-828F01A250DA}</author>
    <author>tc={7D932FE4-C7EA-4DD5-9CCF-9E6910797F16}</author>
    <author>tc={AF84E2A7-677D-4180-9D86-873E9C36033A}</author>
    <author>tc={43C81C89-0885-4DD4-BA93-BEC8751E84D9}</author>
    <author>tc={DAD591B8-CBA1-44FA-A62C-0EBF698F7C4A}</author>
    <author>tc={6182C663-C50B-402B-918B-CA1BEEDD7BF1}</author>
    <author>tc={39B56ED8-99C6-46F6-ABE0-6BCEE8CB6025}</author>
    <author>tc={BB96C181-3163-4D1D-BE31-6FC24085C04E}</author>
    <author>tc={DDBA6BA7-1840-4E0B-82D6-401B46C1CE4A}</author>
    <author>tc={9C3091BB-0738-4553-A1C7-18AE5F7DC13E}</author>
    <author>tc={8FC2BA4A-E3F2-4B5A-BC15-11DD4F07A772}</author>
    <author>tc={4C5A6222-EB8E-40B8-BDA8-FC879E8CB082}</author>
    <author>tc={A7E03E1F-D15E-42AE-BCE3-9B72CD467471}</author>
    <author>tc={AD5475D7-594F-4B0A-8648-A7FEDD3927F4}</author>
    <author>tc={EEF0DC9B-5AE1-487B-8ACE-A5B0F5B88C79}</author>
    <author>tc={0D5A4D06-65FB-4E76-BD13-4FAAE0D7046E}</author>
    <author>tc={F57F7E37-E1D8-497F-A6C2-D87DF4B6F7ED}</author>
    <author>tc={85C696A7-F570-4E85-AAB6-D2D14C8AC760}</author>
    <author>tc={2A18CAA6-A78A-4F6E-8C57-93E4FAA1AB10}</author>
    <author>tc={0EA9E3D6-C231-44D3-88FD-121513F8553F}</author>
    <author>tc={485AD7EF-B422-47F1-B81C-C171055935B3}</author>
    <author>tc={212DBB1D-066B-4CCE-A67C-A5684345E3BE}</author>
    <author>tc={DE803A05-E216-47DD-8CF2-2B50DA06A94E}</author>
    <author>tc={93C8F48B-A8A4-4825-A9ED-F74D3FC80D0F}</author>
    <author>tc={D78FD19D-A4C2-443A-8D96-3EE755803E1B}</author>
    <author>tc={D223C5EF-7C2D-4CA9-AF8E-BA88D185ED86}</author>
    <author>tc={A104995C-65D0-41E2-8C78-6A3074EA252D}</author>
    <author>tc={66922390-56D1-4711-A688-08639E8224FC}</author>
    <author>tc={7293EC4C-E5BF-40BC-95E5-1B4196A6980F}</author>
    <author>tc={609F2BBD-2C01-4E25-B908-1B209873FD23}</author>
    <author>tc={1520E1CA-E9B6-424F-8A4D-C7FB61CE4FEF}</author>
    <author>tc={B3BDA2AB-1DE5-4375-B404-8FE7FCC79A18}</author>
    <author>tc={3EB84C59-4175-4960-B579-0E2B56F0DAFF}</author>
    <author>tc={12790CC2-8166-4A52-B876-DE6464974149}</author>
    <author>tc={6AD7C90B-B76A-480E-A7B9-4BAFBC5E86E4}</author>
    <author>tc={C1BF5F45-3C72-45BB-9766-7F0047C7CC01}</author>
    <author>tc={4912C5C3-BE2E-41C1-AE10-66CAA4704003}</author>
    <author>tc={F2654E81-7DBA-4578-8A0D-FF99907643CA}</author>
    <author>tc={80F4D077-42D3-43E3-A48B-EBF7199C5747}</author>
    <author>tc={065D5B1E-9915-422D-8996-7ACF911EE453}</author>
    <author>tc={FC8FBFF8-9DE7-4731-AD7B-583FD6186A54}</author>
    <author>tc={CC0B43B6-6E74-4013-A7FB-36024963679E}</author>
    <author>tc={DC125B7D-0E97-4030-AD0A-F60303B7B223}</author>
    <author>tc={F6B719B8-D095-4185-B41C-513F74A84670}</author>
    <author>tc={C7DF5625-8797-4EC0-8BD9-02D850F87F4F}</author>
    <author>tc={D5B04A5A-B0B8-45AF-8FE3-A658DF9B0830}</author>
    <author>tc={FD32B6EC-B9F2-407B-9E79-35C812F213BF}</author>
    <author>tc={77E9A7F2-046A-4CF7-A52D-304A88B3AECE}</author>
    <author>tc={04232492-5741-43E7-9ADE-4ECE89C0DAB5}</author>
    <author>tc={89DBEF47-4201-4965-BD26-BD800C5414AF}</author>
    <author>tc={36132725-F894-44C6-B1A8-6F6FD98615B3}</author>
    <author>tc={B33E6520-A186-4AB6-A902-24E1D13248B5}</author>
    <author>tc={B1382F0F-D4D9-4295-AE08-733A5F9546E7}</author>
    <author>tc={92BC91AA-E47A-4E5A-B5B6-008032DEC370}</author>
    <author>tc={7BC54EEA-0C97-471B-99D5-06688FA5D889}</author>
    <author>tc={0D6EA9E7-97D5-490E-86DA-32FD4D60319B}</author>
    <author>tc={46C95828-4150-4D2B-955C-30866AE5B84F}</author>
    <author>tc={9D452E8F-EEA6-43C5-A0EB-D30DF00694F9}</author>
    <author>tc={12AE9D4C-B6CF-4963-B815-694662EE4CD2}</author>
    <author>tc={F903D839-39B5-4528-B8FE-E9BF9FFAC63E}</author>
    <author>tc={A480404A-9A73-4BFD-BC37-DE96ECA5B9A4}</author>
    <author>tc={3A8B46E7-B749-4AB8-AB66-5EFD27F2EE5B}</author>
    <author>tc={2EE1AE3D-E8D9-4392-8F7D-0E57BCD69694}</author>
    <author>tc={C1D6E6C5-E3B1-4F8E-B599-72949014D43B}</author>
    <author>tc={727E3B57-C283-4E07-AAC7-7FC20C615BFC}</author>
    <author>tc={E83FF4B8-191A-4F8F-BF3B-96D700F2E98D}</author>
    <author>tc={54DB7818-C1FF-4C4F-8AB6-F9E36C354242}</author>
    <author>tc={651CA52F-8E1C-46A3-8B19-1178A7247CBE}</author>
    <author>tc={380A2727-FFD6-412B-AF69-1B50798C9EA2}</author>
    <author>tc={2F68B364-5217-48C7-BB5F-E401C9CEE302}</author>
    <author>tc={DCFD0749-F4A8-4843-A3F3-7A8CEE427886}</author>
    <author>tc={FEEB402E-51E7-44C5-B92D-09D5D5FF61D7}</author>
    <author>tc={2A2B4CE1-7C55-4078-8288-47B43A2FB4C6}</author>
    <author>tc={CF4854F9-4912-4C43-8784-C1610D6E36C1}</author>
    <author>tc={A8891028-688D-4526-877F-CDB8607DE169}</author>
    <author>tc={ED28DD73-58A6-4090-A69D-A3171F412D22}</author>
    <author>tc={6730D17E-8220-40FB-8EC7-50B641272BEE}</author>
    <author>tc={AB6C5C7C-9DFF-4A96-ACD1-127ABD4A4520}</author>
    <author>tc={473889E0-D34E-498C-B49E-8359AD63681E}</author>
    <author>tc={6C990D94-71E0-46A2-BA3B-F71071D1CE1A}</author>
    <author>tc={B49351CD-9B9F-4742-BD64-10B47F97F597}</author>
    <author>tc={ECB6A26F-B9F3-4631-A27E-C9FF756BB333}</author>
    <author>tc={FE922DA8-0E12-40AF-90FD-366BE81330BC}</author>
    <author>tc={6210BB29-86EC-49A2-9203-1A24A2E518F1}</author>
    <author>tc={D1EC3BE8-4327-4AB7-B04B-703D61A333BF}</author>
    <author>tc={DBA0F9C1-467D-43D2-80EF-2834C223D6AA}</author>
    <author>tc={2AE8D3AD-F29C-4E0A-82A1-24C78EA7EDFA}</author>
    <author>tc={FF8B18B7-403E-48FB-81FD-B45D05367857}</author>
    <author>tc={B687BC68-1255-45F2-9B37-F8D59F68563C}</author>
    <author>tc={EFA5E997-9E1D-4400-933B-8B3553C5C9C2}</author>
    <author>tc={B112487E-B557-44A9-8DFA-CA695D15A55D}</author>
    <author>tc={A084C34F-801A-4F9E-BAC8-63E03A7CBDB2}</author>
    <author>tc={29FF7645-84B1-4F35-BA28-69EFDE29B57F}</author>
    <author>tc={8A577B6D-0548-4CCA-A694-B99DD8E1CEA2}</author>
    <author>tc={593E5693-3D3D-421F-9341-99FB0BE99411}</author>
    <author>tc={B0217033-7D64-4D3D-ABB9-7D3E64ABEC22}</author>
    <author>tc={E890A8E5-8E7A-44B6-867B-BA64AB801716}</author>
    <author>tc={994731E6-1EC0-4EE6-BE23-0F12E1D0FE85}</author>
    <author>tc={3B60105D-B7C2-4C19-BA58-59CA8B447413}</author>
    <author>tc={C21B5260-2A54-4CD7-8000-6A504A143B90}</author>
    <author>tc={DDC56D1D-37F6-4BF0-BA07-B617B30D8FB9}</author>
    <author>tc={1E4AEF4D-2AD1-404F-A3A5-BD120852D54F}</author>
    <author>tc={0118716B-B42E-43C6-A6BD-D5800E284E64}</author>
    <author>tc={83ABCF47-E0DE-49CA-A96E-8332214AC2F7}</author>
    <author>tc={F422B73A-C0CA-4F75-A7FE-CF5066647A27}</author>
    <author>tc={E16FEF51-D6EB-44FD-B3D0-7806C17DEFDA}</author>
    <author>tc={907D08B4-572D-46B6-8252-7E889253EE72}</author>
    <author>tc={F0D45E96-3EB3-46D2-A931-CA99E30A866E}</author>
    <author>tc={F70931C7-F74C-434C-80B4-ECE2B3E39623}</author>
    <author>tc={84331489-B252-41C9-B589-4A84942B7F1C}</author>
    <author>tc={3A086FB3-CDA9-4932-983F-593157E999F4}</author>
    <author>tc={8CF51409-9458-4BD7-BF72-CB259697C15A}</author>
    <author>tc={55C2E199-C6BD-4B52-93B8-B0F149CAA954}</author>
    <author>tc={AA603974-03A0-40DE-8727-6256EDD15CA7}</author>
    <author>tc={C0D99A7E-DF74-45D9-A148-F89A8E893499}</author>
    <author>tc={CBEF8704-B4C9-4536-A423-E1D464649F94}</author>
    <author>tc={71FF1C94-5E31-4D3D-B06B-5426C2C68921}</author>
    <author>tc={3080C603-6919-4B61-85DB-ACB7DD1E2AF5}</author>
    <author>tc={30B372FF-EE3E-41CA-A04F-BC0516FED386}</author>
    <author>tc={324421C2-BA44-4722-AAC5-AE05858406E1}</author>
    <author>tc={A531C300-A91B-4EDE-8AE7-95428258326F}</author>
    <author>tc={0284C724-5E42-4457-A8C3-6D1D25DAF827}</author>
    <author>tc={4142DB81-4E14-4FCE-BCE3-939761F923CA}</author>
    <author>tc={E515D5FE-65BA-467D-BA0C-6F1903E0A8F1}</author>
    <author>tc={C942DB78-118A-4E01-93C7-B444C13C358F}</author>
    <author>tc={73F76810-D623-420D-A188-FFBA7322EC94}</author>
    <author>tc={56D547D6-DAF3-4844-92C2-5D94CC4BE864}</author>
    <author>tc={A3CB8F2F-3737-46C1-B02A-EA75C85B8198}</author>
    <author>tc={73F616C0-9117-4E12-A2A1-FDDD358107B3}</author>
    <author>tc={1B242340-9189-4B1F-9938-E015917589AA}</author>
    <author>tc={4212E608-4215-4C89-9BCD-7ACEF891DD65}</author>
    <author>tc={F8BFDBC4-F392-4C39-9F1B-4386E385B9D4}</author>
    <author>tc={2EAC78B4-3018-4E98-8311-80F207B91578}</author>
    <author>tc={274E70E2-44E7-4513-861C-6F2686C058B0}</author>
    <author>tc={12D0F306-22C2-4303-96E9-52F7E03B5A3D}</author>
    <author>tc={48B38D37-F5CB-4175-BEAF-E675F02AE13C}</author>
    <author>tc={67E503A7-0FDE-46B3-8774-E417E534845C}</author>
    <author>tc={534C9F1B-51B4-439B-908A-2BE579519C40}</author>
    <author>tc={A3518DB0-5212-41D1-BB2D-91F0AC9D0D27}</author>
    <author>tc={7B5A8912-AC4A-43B3-8F76-EC112423BC59}</author>
    <author>tc={56A3B45B-286C-4D5D-A4DF-B91410FBF9C9}</author>
    <author>tc={9DF54E69-8CD5-4368-9420-08F683B2EE3D}</author>
    <author>tc={83549955-640E-4EBA-917A-EA9E28BAFAA6}</author>
    <author>tc={DDF64E55-3FB5-4730-A1FB-0CF18BE1D89E}</author>
    <author>tc={6D7A3BA5-AD11-46D2-A133-12C3C46A7966}</author>
    <author>tc={CCBCD766-3EA2-4FB6-A719-701FF4BD4B19}</author>
    <author>tc={E7EA9219-565D-4500-AAD6-C4AA3C9D0A0D}</author>
    <author>tc={1CFEB5FC-8774-4DFE-945C-0E17567C178D}</author>
    <author>tc={9625956F-8B57-4722-A127-96AFCE61B219}</author>
    <author>tc={D0C5087F-B884-4825-8F42-69030753BC6C}</author>
    <author>tc={B07E9B18-A9E5-473E-BCFB-77A99F55ACFA}</author>
    <author>tc={395A880B-EA79-489B-93FD-24CBD6FF2B38}</author>
    <author>tc={BDAA2734-7A38-4DD3-A140-421EFC4478EB}</author>
    <author>tc={BF3A7D48-8B91-4F29-ABDC-48AFCCF9D0BE}</author>
    <author>tc={AEEF385E-8678-44F2-9EE0-27AA6C348C9B}</author>
    <author>tc={18194038-58F8-4B37-8BDE-D88DE8C4519C}</author>
    <author>tc={162DDA06-CDD4-450C-9976-0F22836311AC}</author>
    <author>tc={3528B821-D767-4C94-A331-F3330DA174D3}</author>
    <author>tc={2571F82F-318F-4E51-A90B-418697A9053E}</author>
    <author>tc={5657CC4E-8135-4B22-A641-383F87089A5E}</author>
    <author>tc={C7314D33-CC99-4F6E-B259-C7E79933A38B}</author>
    <author>tc={5F986C25-D615-4C29-958E-4C28708EFE6C}</author>
    <author>tc={11FC981B-C4B5-4AEE-B191-93E368700854}</author>
    <author>tc={EE38AAC9-E1FD-47D5-9C44-239B9871DC7B}</author>
    <author>tc={6D2C5F14-5DE7-4F25-8E3D-4B0C0538AE47}</author>
    <author>tc={520FFBCF-04D3-4DA5-B6C1-86381B7E023D}</author>
    <author>tc={A3C060E2-1415-4561-93B4-8E263254840A}</author>
    <author>tc={6B81B9B8-17D2-47F5-BEB3-FA2485002EAA}</author>
    <author>tc={AD637EA5-7246-4A92-86E3-BE56CEBE489D}</author>
    <author>tc={2A591D4C-DFCE-440A-BCAC-EBA944DFE15E}</author>
    <author>tc={C3F6C688-CC5C-4F81-9CE4-B2AD82043542}</author>
    <author>tc={774D3DA4-A68F-42C0-AFE9-EF14BB4CF4D2}</author>
    <author>tc={3CE6ABAA-73E9-4697-9D9B-8E359357D37B}</author>
    <author>tc={B799B449-6835-4336-BF99-67267C4E8C6B}</author>
    <author>tc={F4FE9F80-C466-4140-9C21-D00EEB6AF532}</author>
    <author>tc={A7B31B6F-4DBF-4372-9B57-B8DD493584E4}</author>
    <author>tc={A62A41FA-A8F9-4AA9-ACE2-84468AE054E7}</author>
    <author>tc={683C4F29-064D-4712-9F51-DB7768C56978}</author>
    <author>tc={0E25B01E-75F9-40CF-B761-A415EFCDD528}</author>
    <author>tc={98372592-F151-4DEF-91E4-A46FDE508C0D}</author>
    <author>tc={B59069AB-AD07-4A84-838E-BA5B78321915}</author>
    <author>tc={4A00A617-8670-41C3-AC50-89893EA64DCE}</author>
    <author>tc={820ED5F4-932F-46B2-808B-EE6B38E7B82A}</author>
    <author>tc={F073E3AF-419D-4E2D-99F0-1999A824E1C6}</author>
    <author>tc={35CDBCC7-D5AE-4E4A-ABDE-81BFFC61BF33}</author>
    <author>tc={A0952D2B-D743-4DE9-B0F6-A7C583E5F40E}</author>
    <author>tc={CC8B8849-12C9-4633-8020-CBA4F4C82FEF}</author>
    <author>tc={36A92055-35C7-4357-9EC3-FA5F49636410}</author>
    <author>tc={57EA9032-2394-4A50-B78E-C34E0F9B1FF3}</author>
    <author>tc={9E5F62F3-D1D4-41BC-A224-54FD95A7212B}</author>
    <author>tc={ACDC40A4-A1EA-4C74-9E21-C6FE94C48BB5}</author>
    <author>tc={19B8AE77-B3BB-4F39-9937-108F9F775244}</author>
    <author>tc={3B10D817-5924-4753-AFC2-50FCD3BD67E2}</author>
    <author>tc={F46AFD57-DDC6-44E9-9A10-15992DB09F5A}</author>
    <author>tc={5BDB49E2-28A4-473D-8651-72E7F2B6A429}</author>
    <author>tc={E3ECDED1-71EF-4C83-ACDF-4670353E194F}</author>
    <author>tc={8B42E9D9-7E25-4C98-A1B2-7D9566B51E50}</author>
    <author>tc={0DEB51F3-AEF7-476E-8356-8436E0A1A1D1}</author>
    <author>tc={818AD8B6-594B-4874-AE90-30D1E467255A}</author>
    <author>tc={D686FCBC-AE4A-4D21-BBCE-5265A3C73FBF}</author>
    <author>tc={E3439C41-9B89-462F-8250-20BFFEADA45B}</author>
    <author>tc={0608DE4D-E09A-41E0-9965-5C7776A53E2D}</author>
    <author>tc={1878433D-C479-4C3A-9F31-60C150E590AD}</author>
    <author>tc={9308E228-6B08-443D-A565-075E0EB7D412}</author>
    <author>tc={07529FB2-291F-4136-8C42-113C77712E3F}</author>
    <author>tc={0CEEE1D8-FADE-48B6-9A69-01A887DA7F6C}</author>
    <author>tc={ADF6DDF1-B425-4DDC-AED6-B6933C35BAC8}</author>
    <author>tc={59160738-6F55-4DD7-8B70-197B2CD6CBA3}</author>
    <author>tc={4D3266DD-6CA6-41E1-882E-F0867F19D313}</author>
    <author>tc={4FD916E7-48C7-4C0C-B318-3D0B3FB3A9E4}</author>
    <author>tc={C3CD2AFC-D1F4-40B9-9AA1-943538C0CEB8}</author>
    <author>tc={100D02E8-3BD8-49D8-AF67-DA8F2836C671}</author>
    <author>tc={3D461E25-D320-4D36-91FD-43156C9899E7}</author>
    <author>tc={4CA9A13C-6528-4182-920F-46BB67B949AD}</author>
    <author>tc={286784B8-53BD-4498-975B-E76187DDF412}</author>
    <author>tc={63AC1923-5935-4F10-974A-5BDCA07E17A2}</author>
    <author>tc={E4FE118B-DD1B-4852-81AA-2610DF83969A}</author>
    <author>tc={8E405392-A673-4DA3-A109-872D6CA5450B}</author>
    <author>tc={BD71A9F4-3830-478B-8780-BD1CAFD25D24}</author>
    <author>tc={0C1C2707-BB9E-4C06-993A-20A875328022}</author>
    <author>tc={1EB4851D-C9B0-48AE-BB3F-5255D335EA68}</author>
    <author>tc={70710B4E-8FAF-49C6-9F28-B405BB5F5A94}</author>
    <author>tc={E69D01E8-789B-4531-B1CA-9B08B37E666D}</author>
    <author>tc={B062025F-3FF3-42A3-9C97-A3FFD71AD823}</author>
    <author>tc={B3351F12-0E6D-4AFB-B740-00F0C45621BC}</author>
    <author>tc={F914CA24-119B-4D1B-AF61-3E196F523063}</author>
    <author>tc={36EF8ABD-EB25-45E3-85D1-5702CFE43655}</author>
    <author>tc={9B89B0A5-253F-40B4-9A86-043B2E17C7F2}</author>
    <author>tc={0462B551-BBB7-4C71-92E6-2B92DD8E9B01}</author>
    <author>tc={5E62BCA2-6EE7-48D0-B20E-0D1D36286C5C}</author>
    <author>tc={3BD3F283-A144-4222-8D68-0073E7A715C1}</author>
    <author>tc={7F353844-E3D7-4B44-A7E4-55B07ED5D8E4}</author>
    <author>tc={BC776571-2DF0-4FC3-9F18-F0EDC0CDD64D}</author>
    <author>tc={D2727026-5D9E-4A0D-8E68-FD2040AD34C6}</author>
    <author>tc={393745AF-97A4-4ED5-A31D-8689096ABF28}</author>
    <author>tc={2E9D6F1E-6B09-404C-86BC-493CA93EDF02}</author>
    <author>tc={EBE70629-30C5-4C89-B432-A5BAE98BEED2}</author>
    <author>tc={F12770C5-AB55-434F-B93D-81E2277072E4}</author>
    <author>tc={181207FC-D5BD-4FCA-A9C2-209BD81A708D}</author>
    <author>tc={1819429A-B6B7-4A70-87AC-89FB4709FDA4}</author>
    <author>tc={2DE50200-EE26-4CF5-B650-02DD5259F888}</author>
    <author>tc={9E7F58F9-8D6C-431A-B04D-2898935D97C8}</author>
    <author>tc={E32D8FA6-1219-45A4-9B2E-E1F66C18F437}</author>
    <author>tc={AAFB4F4E-8575-4525-BEEC-ED695C6B7CA2}</author>
    <author>tc={4806C063-2E70-4B12-8CDB-FE0B864D5DF8}</author>
    <author>tc={81AFA476-9811-4C76-81E1-D9D981270FC0}</author>
    <author>tc={5B6C5CD0-90A7-4D74-AB3A-2D812309F518}</author>
    <author>tc={B266E5AF-BB9F-4ACC-8C13-C1077EF369AE}</author>
    <author>tc={99E9BFCF-6A2F-4C26-8C60-EF36C2652994}</author>
    <author>tc={ACB6B76A-59DD-4D32-8A12-5283A7B80FD3}</author>
    <author>tc={5AE8C3B3-112A-4954-B6B5-C8BA6A525EC3}</author>
    <author>tc={C6950B26-7308-4811-978C-27EC4388F206}</author>
    <author>tc={CC15BED5-2D68-44A1-801E-D62D586A1E6A}</author>
    <author>tc={30AB5BAC-591A-4812-837F-7C5099D51031}</author>
    <author>tc={871A1A41-F4E0-44DE-A202-BE8C16911B76}</author>
    <author>tc={BD751736-4241-4256-BEEF-0640DAE07EF1}</author>
    <author>tc={2762DB54-71D6-45EC-8313-B5B86158486B}</author>
    <author>tc={70E23546-F2D7-4DE7-98A6-0E0D4898D1E6}</author>
    <author>tc={CD519CCC-D895-4A45-9E72-1F7C50920174}</author>
    <author>tc={7981D4DD-E97E-434E-AE91-9930E4A57FF8}</author>
    <author>tc={64F59A1C-742F-4295-848C-CE8A86D33AF5}</author>
    <author>tc={A9932B12-B86B-4558-BE2B-92652298FF85}</author>
    <author>tc={C9DE07FF-ECD7-46A1-9A10-1A395AFF997C}</author>
    <author>tc={D1D8F789-64C8-4EF0-855A-C17314E2AEE6}</author>
    <author>tc={578DC804-D908-4DBE-A0DF-2520513222FF}</author>
    <author>tc={F2D2FB59-A326-4D30-B57B-2BC8242CFD20}</author>
    <author>tc={785A1EBF-7986-4F62-A88F-B385B3ADBF35}</author>
    <author>tc={9699C8A7-1C15-4B69-9C62-466CE990EFD6}</author>
    <author>tc={7433BF03-0FB2-4476-B8D9-15FC53C1A13D}</author>
    <author>tc={2F73C7C2-DBF6-4F7C-9F80-E209ECE919B8}</author>
    <author>tc={53B122C4-0EA8-477F-A823-526CE6E22C42}</author>
    <author>tc={4DE29347-EC92-4333-9F82-73C743831716}</author>
    <author>tc={705728C8-5693-4030-82ED-A5453E810C9B}</author>
    <author>tc={75B8EBCF-1FA6-4D09-B302-FD62554785A1}</author>
    <author>tc={F0C7445E-6F52-43C0-8205-07EA5994ABAD}</author>
    <author>tc={50F92951-09A2-4868-AB55-E910D37D06CD}</author>
    <author>tc={6B534910-F7EB-4398-A3B3-F79C93647F53}</author>
    <author>tc={EC6E592A-E6B3-4D12-8921-C4D6AEF68D68}</author>
    <author>tc={A1CD4FBB-C077-4063-8779-F3E2E63D1268}</author>
    <author>tc={E881796A-BD7B-48F6-A91F-F9D8C281EBC4}</author>
    <author>tc={A955346B-3118-47CB-B20D-D468C93D82AF}</author>
    <author>tc={6C393016-7DEC-49D7-8E0A-D4CCA8C67279}</author>
    <author>tc={AB294FB2-1EC9-4408-8CD3-72CD13164070}</author>
    <author>tc={151DBF25-44A1-490B-9009-A9DE6E30125F}</author>
    <author>tc={E65BB738-FA0E-4B3D-8D3B-29A50E78A12E}</author>
    <author>tc={8A47AFCD-535C-47E6-935D-CF43888980BB}</author>
    <author>tc={C8424228-90F7-4E82-AAE0-845DAA51BED8}</author>
    <author>tc={23F6E933-D474-4455-98BE-08954A99CBA0}</author>
    <author>tc={F577269C-9E55-4787-8AEC-CCC9F810DF4C}</author>
    <author>tc={D5922CFE-E57E-4220-A9FE-8A93E048DDE6}</author>
    <author>tc={D63BB662-6A0F-4615-B392-8EE3E4BBB25C}</author>
    <author>tc={DB8F3040-49BD-4620-8E11-37970D794BC1}</author>
    <author>tc={AA2BFD10-C005-4557-AF43-D81DD20CFFD7}</author>
    <author>tc={4CCEC71B-5CC3-4F27-8EE0-88869145F789}</author>
    <author>tc={5C393FBB-7A15-471A-A158-1AEB49590597}</author>
    <author>tc={64C2BB79-E7E0-4762-AD1D-FA0477710A49}</author>
    <author>tc={0139E27B-E49C-439B-BBE2-07748AD907F7}</author>
    <author>tc={A4F6C974-6B2B-47BA-8422-EFACFB023650}</author>
    <author>tc={7E2C1E9A-0D36-4EAF-A280-859116D8C649}</author>
    <author>tc={922D0E20-7263-4DDE-89B2-2ED3564EF042}</author>
    <author>tc={0A24250B-A0F0-4F3B-A3C0-65ECCD67F819}</author>
    <author>tc={73502450-1FFE-46F3-A860-0EE0457D737E}</author>
    <author>tc={E925D657-D7CF-43BB-9EFB-A1336252E356}</author>
    <author>tc={C8BD5085-9CE0-41F9-B833-D8664C75FA50}</author>
    <author>tc={E9A02996-5EA7-435B-BC0C-8A49C2A8B360}</author>
    <author>tc={6DE3F1A6-4211-4107-B73F-5E8AA4C7DD27}</author>
    <author>tc={E34983D2-0FED-4FE9-8ADC-29904F53B8D1}</author>
    <author>tc={F3D8CEFF-EAB0-44BD-BBF7-46BE323AFE91}</author>
    <author>tc={304389CC-5341-42E3-9F34-147DF8D8D13F}</author>
    <author>tc={7C873286-3369-4217-B670-F50ED296CC84}</author>
    <author>tc={4C06D23E-4D51-49AA-9AB4-30059BEE02D1}</author>
    <author>tc={46F0B604-E7BC-4051-ADF2-7DEBE3B637A6}</author>
    <author>tc={CCA8FEC8-B7F2-47A5-952C-B7B84042036C}</author>
    <author>tc={8EC4116F-48BF-4D0B-AA4F-DC2FCB8F0B5B}</author>
    <author>tc={B6DF13EC-084C-48F8-807D-6CF222748E42}</author>
    <author>tc={A3A7159C-BD45-450D-85AD-58783E24F697}</author>
    <author>tc={ED267FC7-E904-46E7-AEBC-E2228444CB95}</author>
    <author>tc={CD6D6EF2-5BC6-4813-B265-A205562472E5}</author>
    <author>tc={AE916BE6-640E-4DE8-BBE6-46F0C550AD97}</author>
    <author>tc={42EF51EE-49FA-4438-A142-4D4A5A14D397}</author>
    <author>tc={A5AA53EC-C4F5-4A61-BC85-2FA45E2211A8}</author>
    <author>tc={5D887BA5-522A-4687-BAF3-DDB62FA93EF6}</author>
    <author>tc={142FF9FA-77FB-401F-AF91-9FB9B891A7C2}</author>
    <author>tc={EDC9D6F5-1B2C-4C44-8A30-E364161B84E7}</author>
    <author>tc={315B0CC0-095C-42FA-92F1-AD8FED611AED}</author>
    <author>tc={0A8C4FB7-9081-49E0-9AF0-CAC4FFBEE56F}</author>
    <author>tc={BFEF1359-5007-4610-8BE8-AFE094892D68}</author>
    <author>tc={06489FA1-02C8-4BAD-AE88-1C98F3ED791B}</author>
    <author>tc={B0B77C63-D19C-4827-B1FE-CC3D837677E2}</author>
    <author>tc={7004FDE9-E4C4-496F-B6DE-DED1841FA0C0}</author>
    <author>tc={4DC4A129-6163-4EDB-804A-D527473998D8}</author>
    <author>tc={F66A54CE-5C9A-4617-A6A2-D75BAD831BAB}</author>
    <author>tc={BE545909-461D-4D43-BBF2-F2CEA39E78DD}</author>
    <author>tc={8668BC1E-AA08-4B31-8AD2-3FD72E1D3548}</author>
    <author>tc={474B8A51-2A19-454C-AE4A-6861DA4304FC}</author>
    <author>tc={3274E325-5E3D-4C3C-BDCB-E6934AF9C270}</author>
    <author>tc={CDFF1A7E-8844-43A5-8B56-6369B3428E2B}</author>
    <author>tc={1CA142E6-47AC-4C70-BF36-C517953E8A81}</author>
    <author>tc={E11FEEF1-CBBC-44D0-A0E2-353FB31FD0CE}</author>
    <author>tc={4233E609-A706-4BD2-B8AE-4E38FFBDF0B7}</author>
    <author>tc={CBCE7882-0944-48AE-8DFB-F67D770E9E15}</author>
    <author>tc={82E171E9-8DD1-4E72-A93F-9AA9341C16A1}</author>
    <author>tc={75E77345-2D62-44DB-A62D-C58CD9014863}</author>
    <author>tc={D44462E0-0764-4509-BD20-BF53FC98F5D7}</author>
    <author>tc={D1625D6E-D38E-4EB3-BA94-300EDF85B8DF}</author>
    <author>tc={84CCC690-4934-4949-A6F6-1EFE0418B7F6}</author>
    <author>tc={CD8AD304-EF65-4595-B74C-21B0CFB6469D}</author>
    <author>tc={D93ECC95-D912-4669-814C-1A44B9AD262A}</author>
    <author>tc={7058B891-A428-47BA-B9DC-057ED48F4CA5}</author>
    <author>tc={9CBA80B4-C47E-4DFF-AE18-D7843EFCC320}</author>
    <author>tc={A0426AEE-AA66-4CAD-9298-45AA6D205348}</author>
    <author>tc={A874309E-715D-4131-9A92-123E4B8A18A8}</author>
    <author>tc={A48C7E62-F55F-42A7-8839-61D5C3862D44}</author>
    <author>tc={0568312E-9D22-4B78-85D0-F25CB8019C33}</author>
    <author>tc={70E000B2-0F1F-4A9F-94BD-A1F04493C077}</author>
    <author>tc={6C103A27-F5B1-4505-9112-86F3F032FFE4}</author>
    <author>tc={A03BC617-0CF6-45ED-A611-C0519D8D4972}</author>
    <author>tc={C0F9E1AC-8B3B-4899-AE93-02CD440B754B}</author>
    <author>tc={5E75BF35-776F-46B3-8088-A4E5EDFA7BFB}</author>
    <author>tc={440F2BB5-C653-46E1-9D7C-A5418D44D0DE}</author>
    <author>tc={B9837544-B801-404A-B881-461460B23F52}</author>
    <author>tc={370723B0-02DD-4578-96A7-4EEBF06D536C}</author>
    <author>tc={C981012D-377E-403D-92CE-06628FE5C8D9}</author>
    <author>tc={E2EB8FC1-EFEE-4275-9DB7-01AD617BD59C}</author>
    <author>tc={64403CB1-0309-434B-B3B3-8901C7359F93}</author>
    <author>tc={0E3A48AE-E517-48E6-8354-EE633FFF4A73}</author>
    <author>tc={F9493178-ADDC-450F-A886-89BF3D8566A9}</author>
    <author>tc={8ED5199F-9CD6-49CC-82CC-BAF3AF7C364F}</author>
    <author>tc={3E3675E9-B238-4535-9DDE-0CD266EB4BFA}</author>
    <author>tc={1EA0C109-1AC9-4D77-953A-682FD817FCFD}</author>
    <author>tc={35D84797-638B-4FC4-97DB-3C7E5B2C7380}</author>
    <author>tc={52606E8A-237B-489B-BAB7-4ACF59838460}</author>
    <author>tc={96663196-01EA-4E7B-B23B-B0E87F3968C0}</author>
    <author>tc={0E596C2D-34B7-41A4-B95C-2C53EFD88338}</author>
    <author>tc={72398D56-4377-4A33-BD7C-D28937C5A527}</author>
    <author>tc={97C2BBC7-410C-493A-938B-1F1349EDC867}</author>
    <author>tc={B8BEA227-2059-4B0F-95A9-29076C7E64AE}</author>
    <author>tc={B515DDBA-5AF3-48DF-8C73-880689E564E3}</author>
    <author>tc={BF331509-E3C3-4C6B-8E84-988B2F7D6583}</author>
    <author>tc={F1BE9DAC-80D3-4A6A-AC60-5CCB66005588}</author>
    <author>tc={F1E5644A-0860-4458-B5F6-0162E02AC2D4}</author>
    <author>tc={577AAF47-BBA3-45F8-88EE-A18ADBF8E9FA}</author>
    <author>tc={B91D2AFD-A4C5-4AED-A927-3C721803FD05}</author>
    <author>tc={DD9FA5AD-2CD5-42D0-BF58-B5DF16DD99C6}</author>
    <author>tc={0A822FAE-368C-4FDD-B169-E38AA5C26A5A}</author>
    <author>tc={7AEB11CD-1E65-4692-AB7E-C8C770B90907}</author>
    <author>tc={BDF2161C-EEF1-46CD-96EF-C56401D0E9AA}</author>
    <author>tc={63D7C453-F276-4ED6-9B27-8E5B745B7417}</author>
    <author>tc={BDD9FAFD-58AD-48C3-84B1-182D714E3CA0}</author>
    <author>tc={80F7B750-EF26-4E88-BD2B-D797AB16E7F6}</author>
    <author>tc={0E991535-6E3B-4AD3-A3B5-70C4683C6B44}</author>
    <author>tc={B99EDEAA-F872-4BB5-AE46-C1EC0C49A2CE}</author>
    <author>tc={99F4FF9A-B94A-4947-B8E8-C60666F5D937}</author>
    <author>tc={E2E4AD69-A063-468D-955B-434A800E894A}</author>
    <author>tc={6DF5A443-E075-4D3F-B096-A3F2886B2F8B}</author>
    <author>tc={86CE50A8-01BB-492A-98A9-4138BFEAF0E8}</author>
    <author>tc={9933EB2E-F60E-4C03-9A93-0BD34AD7F247}</author>
    <author>tc={E8589C8A-7BA6-4903-AA40-D04ADE5EA6C8}</author>
    <author>tc={1DB19C79-6CD4-4E2C-AC39-EADE5873C1D1}</author>
    <author>tc={7B79B39B-6297-4259-9F98-82DA0B9B17BF}</author>
    <author>tc={293C17DE-35A4-4C8F-8671-23D9191BD00A}</author>
    <author>tc={DC559B70-E5C0-42CB-8436-A2A52D3F5689}</author>
    <author>tc={65FF2CE0-D8F9-43A8-948D-ED84BEA855E8}</author>
    <author>tc={99164A8B-F98B-4DC3-BD36-237E70133088}</author>
    <author>tc={83B22612-4FFA-4CFB-8EAB-A39FD056ACCE}</author>
    <author>tc={806E9F19-C326-4FFE-A1A7-5342A3FADC8B}</author>
    <author>tc={57A266ED-752B-4160-BEFA-500032850111}</author>
    <author>tc={897B2D6E-2CE2-4111-8FC1-F2A97FA6286C}</author>
    <author>tc={9B1220C5-8F8E-419D-B424-F71F2075837D}</author>
    <author>tc={3421F572-9C0D-4909-8A9E-19264CF22751}</author>
    <author>tc={89AD3139-B353-413D-ADD8-856D0E2154DF}</author>
    <author>tc={61D02463-D9F4-4736-AB5E-6BF9AD02B00D}</author>
    <author>tc={3F669C8F-8EBD-4B48-8F53-D049D2D1EFAB}</author>
    <author>tc={91CF1186-8DAA-4A34-B5C7-BF43A3B3C5DF}</author>
    <author>tc={B163F528-F8F0-4668-8298-A5C8BDC6B9D1}</author>
    <author>tc={EC81EA19-BB91-4808-81DF-238B2F39A995}</author>
    <author>tc={A2E82EE2-0245-4547-BCD6-4CE9F0AA634A}</author>
    <author>tc={9F4B1F1E-ADE6-456E-8BC8-526C7927BDD1}</author>
    <author>tc={F95C2AD3-5ABA-4B47-B22B-7966E0F11DE7}</author>
    <author>tc={AB9CC0B0-AC1D-446C-A03B-6FC852DBBD85}</author>
    <author>tc={1E6FBE50-E45C-42F9-B830-AEE4DC5281D0}</author>
    <author>tc={54F1EE09-490D-4F7F-8B91-61947C3463EA}</author>
    <author>tc={8E8DC10F-3F7B-4135-B0A0-63B1C563DF92}</author>
    <author>tc={AAE1C1AD-799E-447C-B07B-645B2F5DD698}</author>
    <author>tc={39B6BB3C-BD05-44E1-A867-3553FDC42A86}</author>
    <author>tc={5FEE88DA-BA67-4523-9E19-5BBD40A6F1C1}</author>
    <author>tc={73AD1ABC-20B4-4B86-A26A-16790F5EA5F8}</author>
    <author>tc={9F2FD02F-693D-4570-8B0A-1469CA41F51F}</author>
    <author>tc={8CF795E8-D151-4B11-8C12-2350BB50F200}</author>
    <author>tc={85754AF1-6E56-4CA0-9663-7EC734A11152}</author>
    <author>tc={ED7700BC-1714-43CA-B1EE-94812BB9A763}</author>
    <author>tc={5DEFB6BB-3692-4497-9442-BD23D010E853}</author>
    <author>tc={B86F1E79-3E42-4805-BC03-6BAF579A8A5D}</author>
    <author>tc={17EB9CEB-6DD2-44B2-9CE3-DE36016A81EA}</author>
    <author>tc={D76DC1F1-351C-4B3F-AA98-D1FCFE385720}</author>
    <author>tc={C5AC00EB-55F3-4F8F-B95F-46A7DAD25444}</author>
    <author>tc={427F84E4-1275-46BB-9218-5ECF102A49AD}</author>
    <author>tc={D29B5AF2-5C61-45C8-9B92-7B015E851CEE}</author>
    <author>tc={8E988ACB-DD7E-4133-921C-2E584F5E9EF3}</author>
    <author>tc={B3A69DE1-EAB5-462E-9D6F-16F92809B86F}</author>
    <author>tc={D4E43A3A-E6A9-487D-8959-24E46FEDFA33}</author>
    <author>tc={7B1DF90F-6BCE-47E8-B9E2-E876D0F95A09}</author>
    <author>tc={FDB26B37-A113-44F3-8200-CDA6566142C2}</author>
    <author>tc={76CA6039-3934-42A8-B020-F3AEAA1E20E4}</author>
    <author>tc={BB89E0C7-FC53-4A13-9E5C-22D59C9C857B}</author>
    <author>tc={CE0FEACF-5136-48B7-8E44-D9C96EDE532A}</author>
    <author>tc={96D08DEE-6BB9-4CCD-81B7-BE227432E733}</author>
    <author>tc={AA333841-81D7-4AE0-B023-882A696A6C74}</author>
    <author>tc={FCC12593-7BE3-4419-9450-6A33B866E340}</author>
    <author>tc={7DD321B2-0546-41BB-BEDD-FBDA8325AE4A}</author>
    <author>tc={AF38A2CB-F46D-4D93-82D3-2C61B894CDE7}</author>
    <author>tc={18E65D04-4330-4C51-8C22-EDDAAFE1E315}</author>
    <author>tc={621CD022-8702-4A8F-BA77-FD533693D732}</author>
    <author>tc={03EE5ABB-DCF9-4665-B5FA-9D6CAA6A0FC0}</author>
    <author>tc={7D2CDCFE-10A1-44BB-8D84-B1C8DC079376}</author>
    <author>tc={9C51AFFB-EEAF-4235-9665-8838A552B435}</author>
    <author>tc={30B70A4B-808B-473A-B5E0-BF79A3B14F34}</author>
    <author>tc={AEDDC9BA-60C5-4D74-83D1-55CE70604611}</author>
    <author>tc={A3205C56-60AC-4040-B5D6-8E3AD2B7FA30}</author>
    <author>tc={06FEF067-985E-4217-826D-A08AE9E094C4}</author>
    <author>tc={1756D3AC-4405-4A5E-A1DC-C8DEB35AF5C7}</author>
    <author>tc={FFE16C5B-7D3A-4A30-A82D-0C71ACC57901}</author>
    <author>tc={2979DCE3-7A2C-4C17-8C45-599E6505D598}</author>
    <author>tc={AA9B4A4E-C7C4-470E-A4CC-A10921A5BF58}</author>
    <author>tc={E73B770D-ED51-4051-BCD1-67990B8088DF}</author>
    <author>tc={C08B7406-7952-4687-8AF1-212832B4D75C}</author>
    <author>tc={682861DE-2890-4522-A3A7-849707A3A81F}</author>
    <author>tc={008DD045-E0DC-4B86-9B34-53627DD781E3}</author>
    <author>tc={324FFECF-9CF6-4397-9F39-5F0E559D0076}</author>
    <author>tc={310C4DC0-02CD-44E9-B308-257A338BC783}</author>
    <author>tc={9C3008CB-6FDC-4FBC-B439-016952225F0A}</author>
    <author>tc={6D048870-6402-400F-BD5D-F1C3F9A95937}</author>
    <author>tc={E9086714-EF00-4CC5-B5C3-FA930EAB5B81}</author>
    <author>tc={AC8F5C85-1D9C-4A4A-AC59-DC03E913DCF6}</author>
    <author>tc={695AABA7-0931-4F8E-BA9E-579A24E76582}</author>
    <author>tc={F21D35F9-94C0-4BD9-85CD-D00981FAE3C7}</author>
    <author>tc={2D76FF6E-E276-4F91-B8D3-49F18883C1CE}</author>
    <author>tc={6356834D-B1D9-4A7F-9E8F-C1A344851829}</author>
    <author>tc={95E443BA-A2ED-4D5E-ABF7-BC0AD8BB0744}</author>
    <author>tc={5599432C-1F92-4D97-BE9C-DA8B196B939F}</author>
    <author>tc={F934B937-C4C1-4A6F-AD4F-62D6E0097939}</author>
    <author>tc={1CC7BE48-9D34-4841-B861-20389D1B3812}</author>
    <author>tc={9FA7E7E0-C128-4A70-ABF6-424F81FAA176}</author>
    <author>tc={4A5BA0B3-7D4F-4137-8D71-044A9993A6E2}</author>
    <author>tc={9B186B53-AE2E-4DAF-A961-36C32B6453E5}</author>
    <author>tc={0E2B52BA-4C40-44B3-BF40-27D7EE611467}</author>
    <author>tc={FE9C85F0-5CC9-4CDD-90E5-2AF54302A475}</author>
    <author>tc={6484E785-E258-41E2-B9F1-42787B686737}</author>
    <author>tc={5659E3F9-F0A7-4131-953F-9ECB80FBFB3C}</author>
    <author>tc={85C53D83-2AC7-48CE-95AE-029F3F24DF60}</author>
    <author>tc={DD86BE3C-8E36-458F-8653-E2D27D020873}</author>
    <author>tc={1DD6510B-BD8E-4B18-9D23-A44E0507B376}</author>
    <author>tc={E77EC379-D4A4-46C8-8A07-19F94D10A9B2}</author>
    <author>tc={C33BB07F-F768-4B98-B319-E1A0B0C2B5EB}</author>
    <author>tc={0389FF82-B2A7-4847-90FF-9201C1DE6172}</author>
    <author>tc={905C29C9-1192-4D01-B5DC-9002C2DEB288}</author>
    <author>tc={4A33D420-6EFF-48AF-98BA-3ED47AC7CD2B}</author>
    <author>tc={5516C875-9D6A-4ACA-B21B-18A81A182869}</author>
    <author>tc={1198BC7F-00FD-4D51-9799-3B19F2F16972}</author>
    <author>tc={976929B0-1D56-4D60-B4FD-5E77C03B71F9}</author>
    <author>tc={EA8D044C-08D1-4961-9E1B-23AD21D5816C}</author>
    <author>tc={8137B2D8-C8BD-495F-92D0-FA9CD5F29BB6}</author>
    <author>tc={59C60035-F405-468A-8E85-22C67C707C31}</author>
    <author>tc={8F4CD586-B7BC-4FE6-92E2-5E49C460254E}</author>
    <author>tc={779DD642-DB32-4083-AC10-D481710362E5}</author>
    <author>tc={B8A351CA-E1C2-4126-9B32-A3BD608046F6}</author>
    <author>tc={309C2AC7-F215-41B5-9B64-2D2001952F02}</author>
    <author>tc={BD5DCF0A-E987-4A42-AFBE-E0FA090CB344}</author>
    <author>tc={2D441CB2-52B9-43D2-A196-5BADFE62E6B2}</author>
    <author>tc={33854C61-96A2-4E15-9B22-95CB707E46CC}</author>
    <author>tc={2A18578E-1664-42BE-8E8F-6124638A0C26}</author>
    <author>tc={7614CCAC-E921-4D31-894D-8CAB5AC7F7A8}</author>
    <author>tc={D9B68F91-5B98-4E66-B969-12614210F1DD}</author>
    <author>tc={E33FDF42-EF14-43C2-A152-888A0AD71EA0}</author>
    <author>tc={06472FF6-9927-46D6-9DAF-DF1170D12B75}</author>
    <author>tc={F7242074-3C41-4F1E-9331-9A26B98FD35D}</author>
    <author>tc={10D988DC-D90F-4353-AE0E-88C26A62B525}</author>
    <author>tc={F9DAC8F1-52E9-460D-9DD9-237CF5841E15}</author>
    <author>tc={34DA5984-2B71-49C2-9956-459D22B3B950}</author>
    <author>tc={D1AA25C8-03D6-4E99-A631-96690A483145}</author>
    <author>tc={A7360CA0-08C1-4C4F-8A51-021878F3FD21}</author>
    <author>tc={ECC56B52-176F-4500-A3CE-C5254C838D6C}</author>
    <author>tc={07490C2E-2742-42C6-9D6F-26BFE1960D9E}</author>
    <author>tc={DBFF3171-8542-4E44-B943-009C2608B368}</author>
    <author>tc={D143FA2D-6AFF-4C1D-A306-9592018B5705}</author>
    <author>tc={A1A1C8CF-1057-44D4-8159-BFCAF8E24298}</author>
    <author>tc={A82D2490-A5F5-4E2E-BFFF-09F18383640C}</author>
    <author>tc={3EB1DA8E-B5C6-45DE-9C6B-DDBF27C7FE5A}</author>
    <author>tc={BBAEE5EF-51FE-4B81-A3CD-0E05694D6FBD}</author>
    <author>tc={A3447D18-EB2D-4293-AE06-47C489F6AFA6}</author>
    <author>tc={6B7AE2AB-7579-4625-943F-D720E65719C4}</author>
    <author>tc={D280D6D0-5733-4366-9894-FB442FCC4D7E}</author>
    <author>tc={352BF4DF-CB24-4E7C-B77C-4C6F881F5786}</author>
    <author>tc={FC843B34-C4F1-4AAF-99AA-97A56B3C15D2}</author>
    <author>tc={6A052E67-845F-4695-A4CD-FC47737FDCAC}</author>
    <author>tc={5F412DFB-A926-4ADE-84D0-52DE8C72EC02}</author>
    <author>tc={DD078F92-1312-4367-847D-18D4F5F24338}</author>
    <author>tc={52605D1A-BC30-44E2-B64F-B40C34B4E46C}</author>
    <author>tc={B12110E2-726F-4D2F-9D61-EEFC57070962}</author>
    <author>tc={D1A2B61A-404D-4CED-9A76-2510B6DE173A}</author>
    <author>tc={52341977-55DA-4716-8A02-921CF69B77CE}</author>
    <author>tc={E46EC8B3-ABFA-4D94-86A4-FD5C566EE9B2}</author>
    <author>tc={4A309790-EAD5-4956-9495-04E87F46B0F6}</author>
    <author>tc={E4795A5E-7C48-4519-9A94-CB1915918B97}</author>
    <author>tc={E42ABE4D-4006-43D1-BC56-850F4F585E46}</author>
    <author>tc={4829B8AF-AD9F-42DE-8E25-3AF00343F4B1}</author>
    <author>tc={A0813A8D-4C1C-4B79-9630-120242356CC0}</author>
    <author>tc={68460BCD-BCDF-460D-9D0E-703A1CBA5DF5}</author>
    <author>tc={3E9A4C6A-EBE5-4203-AA29-5518397246C5}</author>
    <author>tc={575DE820-05C8-495D-B0E1-F8796D74EE47}</author>
    <author>tc={CF64EF6A-B987-4317-B193-A291D490ECDD}</author>
    <author>tc={A2FD0E98-3EFA-49BA-B1D5-34DCC9EA1852}</author>
    <author>tc={EC654F51-1B6A-4A5D-A59D-631F1338F0FC}</author>
    <author>tc={D5800ABE-DC37-4170-A18C-6D67B21517F7}</author>
    <author>tc={7F5E9820-3F70-43F5-9B41-E88B74FB5230}</author>
    <author>tc={50BAA92A-41DE-461E-90C2-328A1F250549}</author>
    <author>tc={833BB765-0B3B-47D0-8DD4-F40210B7B14A}</author>
    <author>tc={DA6B0036-B5B2-4CBE-B280-DC2F8A15C4AF}</author>
    <author>tc={91E7B01D-6D32-4BBA-B2BC-AFD3128C7F3F}</author>
    <author>tc={A50C072C-C5A7-42B9-8D3D-5CBBA192614C}</author>
    <author>tc={B23DC461-69B6-42F7-BC8C-D09EFEBEA158}</author>
    <author>tc={996D77F5-1770-4A47-A9DA-21897B3792AC}</author>
    <author>tc={E123C274-3E1F-44F2-9EAC-8C00560F92A5}</author>
    <author>tc={3FC6F28D-35A9-498C-98F3-2B72744C355A}</author>
    <author>tc={3797D44C-4B69-402B-AD82-587F162049BD}</author>
    <author>tc={817B59D2-F406-44FE-BFC9-DCCEAE7760D8}</author>
    <author>tc={CB0BB5A6-3865-4666-B6E2-12C98F64C9B1}</author>
    <author>tc={7AB29B3D-D2A8-42EB-83FC-B765A25D4069}</author>
    <author>tc={6A1CE86A-72EF-4A04-835B-4DBC440504B2}</author>
    <author>tc={1A69478B-9A4C-4C71-B181-7A1E620FEC0A}</author>
    <author>tc={58AA37D5-8A43-4EFF-8348-EB037387596B}</author>
    <author>tc={6CFBD4DE-D94E-40E9-B516-93F3A7455C1A}</author>
    <author>tc={81943F03-F195-404D-A3B8-8C946B9926A6}</author>
    <author>tc={7AE3E08E-7F81-42F7-8DA5-459D9FABEC7A}</author>
    <author>tc={591A7D7E-8D02-43BE-B765-DC3214CA151D}</author>
    <author>tc={795AB4DB-C6D6-4507-AF6C-626BEEF1C47D}</author>
    <author>tc={098AABC5-9200-48DB-83F0-EA7D27EE4DE8}</author>
    <author>tc={89B5D6F7-A850-4936-879B-5848A358EA0F}</author>
    <author>tc={BF007B0C-47BC-43E1-9712-461DFF5DB739}</author>
    <author>tc={062EF8F3-D368-4A94-85D8-B112E85A49EA}</author>
    <author>tc={A1B23339-8924-4173-810F-A6A79B6C0624}</author>
    <author>tc={3E8C02C3-08B5-4C1C-97DA-3726EA56AEA4}</author>
    <author>tc={C7A03E46-4426-4C98-A2CF-29149DC48120}</author>
    <author>tc={ED5BDB18-060C-4538-8596-5F53E99EA5A6}</author>
    <author>tc={49291058-B90F-4F05-967B-B37D93D935F7}</author>
    <author>tc={AA2933FE-0C46-4D4C-A1C9-F387FEE036E6}</author>
    <author>tc={A6C77657-B94C-4370-B998-A21D0F6F4C9E}</author>
    <author>tc={2401785F-FCE5-4741-A97B-C23AEAD08BA3}</author>
    <author>tc={D64FCA5B-82A4-41FA-991B-19EACD28E344}</author>
    <author>tc={95720654-2A42-40C9-BFB1-05BA23D49A1A}</author>
    <author>tc={AB743443-343F-46D2-A3B3-9220258BA977}</author>
    <author>tc={8C1734C0-FB91-4C53-9BC3-F38AB58C8D02}</author>
    <author>tc={C061BFF1-D0F2-43AA-89BD-2D0F353E3EC6}</author>
    <author>tc={95530E78-7C32-4B14-8974-B720F677F8C5}</author>
    <author>tc={EDE119B0-F72C-40DC-A9EA-7F8930AF8D21}</author>
    <author>tc={ADF8D0E1-A538-4CD6-8CE4-A593A177EA8F}</author>
    <author>tc={69BDB44C-2634-4B9D-88E3-5AB3371E4C02}</author>
    <author>tc={A731DF0A-9993-4C68-B3AC-F529C21692DB}</author>
    <author>tc={03F51145-D5A5-47E1-9C00-E36683782F0D}</author>
    <author>tc={00CB0E67-800E-41FA-8BB2-255EAB5EF738}</author>
    <author>tc={7587C2A5-5CBC-4107-81EF-C0985DC362FA}</author>
    <author>tc={7AE712CD-7E1B-4D13-A294-001E066DED24}</author>
    <author>tc={FCFCA6BD-AA86-4291-8D80-1E9EF3CCDC3B}</author>
    <author>tc={7F797108-C8BB-4280-99A0-E54FC9FC87F9}</author>
    <author>tc={CCC71EBF-9F19-44BC-B8E0-A7EA6729620A}</author>
    <author>tc={97C7A7B8-D87F-4374-BB0F-A4ACD9944A26}</author>
    <author>tc={0CE6B6D6-E219-4DA9-AC21-CA4E6F82EAA4}</author>
    <author>tc={A3732DCE-D805-486A-BF84-9BF055CA2CC4}</author>
    <author>tc={3842B9EF-9E73-4337-AB5B-6FEF9A9E0418}</author>
    <author>tc={D6E761C8-4B49-4794-8880-5880E1E2130C}</author>
    <author>tc={2C66092C-C001-4C9B-AEE9-544E1149D4DC}</author>
    <author>tc={E315CAE7-4DD0-4EEB-B888-D599A57F246F}</author>
    <author>tc={596486EF-047E-4723-AA4D-F25DA47B4B53}</author>
    <author>tc={0BAF1758-DE9D-451E-B00A-49C0EB1361B3}</author>
    <author>tc={15FD5CB9-4611-4974-9E76-6FF49AA6940B}</author>
    <author>tc={62E5E9CB-9BE6-4F65-8271-EAFB9B53DC37}</author>
    <author>tc={EF90E8DE-AD7E-43D8-9DD4-40572043D1BF}</author>
    <author>tc={F5464998-B1D4-4B89-B926-E5190EB5D470}</author>
    <author>tc={C78F94BA-DCFB-4FBE-9B46-63F4FDF694CD}</author>
    <author>tc={AD623873-C722-4B7C-A6A1-7C80269E68B4}</author>
    <author>tc={1A0FC36B-DE25-4B94-AB79-8595EFD5D333}</author>
    <author>tc={88F57423-65EB-472E-B278-2D04D56B33FA}</author>
    <author>tc={193CECFE-4B4A-4476-A4E0-2FE29F0F828B}</author>
    <author>tc={48627094-9A6A-4A2E-A2C8-17E14E3E864C}</author>
    <author>tc={71BF37A3-43BC-468A-810A-DD2BD6CCE3F5}</author>
    <author>tc={0466AF37-1BA1-44FA-A6F9-C16B619C7833}</author>
    <author>tc={D7BE4109-D1EB-40A1-BAD4-50DCDAB2A85F}</author>
    <author>tc={5BFD1EF0-8527-4F75-9682-173987A06A5F}</author>
    <author>tc={760203FE-AE8C-4CD5-93EF-3F1C074F9337}</author>
    <author>tc={6353C889-F2D8-415C-AA25-85870ACB781A}</author>
    <author>tc={5E33DD34-B180-4B47-9B6C-382D0F0EFCB9}</author>
    <author>tc={A7C3D965-E912-41EE-8692-CDAA7A31E606}</author>
    <author>tc={024357E8-62E1-4430-B75D-BA2AADBD594F}</author>
    <author>tc={D7B8581C-9B46-4AA4-A88F-26A0A58D1D33}</author>
    <author>tc={156DA0B2-65BE-46FC-9920-8E2DD30BF034}</author>
    <author>tc={6C02B632-461D-4133-8D96-87F72CA5777C}</author>
    <author>tc={C207DC28-A1D7-4AA9-AD67-AAB18C174D38}</author>
    <author>tc={9CA7993C-9D0F-4D59-A0D1-91B4C52B6C08}</author>
    <author>tc={0794CA83-BEDB-4A1A-883F-36FE75F54994}</author>
    <author>tc={F1138AD9-5D67-48AC-88D4-F1EC63FBFC36}</author>
    <author>tc={4F15CBE8-7342-4BF2-929F-C59AD698ED19}</author>
    <author>tc={DB344B73-9FE5-4042-884F-934E05B243AA}</author>
    <author>tc={295C0F03-7ABC-4E78-B80F-A797BDAC9A2C}</author>
    <author>tc={7A4F0084-C964-4E96-B565-4C24315603F6}</author>
    <author>tc={C19EA697-FE81-49DB-9574-B83FF94D29C2}</author>
    <author>tc={47205515-E5A8-4F4E-AA0E-2E46EE720105}</author>
    <author>tc={33F38BBE-AC3A-47CD-A6A8-6B564FE31F47}</author>
    <author>tc={C03B4414-9F1C-4AD9-80FC-CE4F4F2EC76A}</author>
    <author>tc={BB7BCBC0-B271-4035-9C03-3D5576D6DD6A}</author>
    <author>tc={D8A0EA03-E963-4034-8BE3-F6EB119B5ED0}</author>
    <author>tc={AF28B778-BD66-4220-B940-621462E3CA9C}</author>
    <author>tc={EEA5D969-CF9C-492E-9869-E0311234EA3D}</author>
    <author>tc={70CF220E-9293-4004-A8B0-1D5AD4945BE0}</author>
    <author>tc={419E48DB-0808-4B8D-903A-E1DEBC8E0F6A}</author>
    <author>tc={F21F1CA7-A95D-49DC-819B-54268FF010D5}</author>
    <author>tc={B7A795B9-3D42-4F8D-A0CA-45AD0DD9713B}</author>
    <author>tc={B1A07E58-C050-43C3-9723-0E0DFF2F72AF}</author>
    <author>tc={6BC8B08F-9FAD-4E8E-B4CC-EA4C2AB736A6}</author>
    <author>tc={241F0E2D-19D6-4A56-B7E0-16DF2ECB0272}</author>
    <author>tc={6EFE3BDA-85D7-4B61-AE69-4B81693CDD00}</author>
    <author>tc={7BDE8AB0-4EBE-433A-81F7-894791273CC4}</author>
    <author>tc={BE3043FC-2250-4B67-9F32-69A59EE109E5}</author>
    <author>tc={614B9C8D-E2CD-4490-B061-3537E2DCA118}</author>
    <author>tc={500C8180-3A20-4F1F-8A19-7BB58A7DA77A}</author>
    <author>tc={487DD908-9C2F-42F7-9C5D-F36A4D1A9256}</author>
    <author>tc={F4A90030-164B-4A60-9A30-6B4221EEF44D}</author>
    <author>tc={D0E4B527-FAF6-44C0-B6C0-211A5072342C}</author>
    <author>tc={8D808BFB-949E-4F02-8B82-324C610A868C}</author>
    <author>tc={EDD3BF56-0647-48AA-958B-2CC3B6C98130}</author>
    <author>tc={778CF0F8-3850-40DC-9039-4A6974EE6368}</author>
    <author>tc={63E104E3-5B2F-4044-AFB5-909F62987157}</author>
    <author>tc={451041C0-0913-4A7D-AAEB-95B3323602B8}</author>
    <author>tc={86CBD2C3-8BDA-4157-864C-5940BF8C4A0A}</author>
    <author>tc={6B465731-767A-4199-9EA0-BF7F68C4E164}</author>
    <author>tc={6B35E40C-B44D-4F0A-932E-90A7517AFB1D}</author>
    <author>tc={FB67E549-6374-4779-B09D-291732D402AF}</author>
    <author>tc={581161CE-2086-4EFB-8D12-14FA33D596AB}</author>
    <author>tc={AAF70ADF-DD37-41BC-9C0D-AD83C56F7FCB}</author>
    <author>tc={9C55D556-A5E3-430E-B902-52FE29EC6261}</author>
    <author>tc={A654857A-6A4A-4350-9802-5828D8A94247}</author>
    <author>tc={CED65E50-2842-4E3B-87C4-99A17D0EA83F}</author>
    <author>tc={0ADDE1DE-E725-4274-A3C1-440A10F725DE}</author>
    <author>tc={3ACEB616-B098-4FBC-99BC-7024A629FCF5}</author>
    <author>tc={33D72975-2042-4129-BC69-E48811CDA4BC}</author>
    <author>tc={72CE331A-6C90-41F6-B892-02F9221BED4A}</author>
    <author>tc={72ECCAE6-4AA6-4C33-A384-A096AFAD004B}</author>
    <author>tc={C13376F1-93C4-4803-BD9A-94117E03FCD0}</author>
    <author>tc={5DACFD95-C569-4A92-9BFC-1206D83627E2}</author>
    <author>tc={F8AE02CE-847D-4350-9F89-91E14CC94849}</author>
    <author>tc={17283E19-39E7-408C-AE7D-D7B9A3996DBB}</author>
    <author>tc={72619C17-E884-496D-B962-F57071FF8C36}</author>
  </authors>
  <commentList>
    <comment ref="I2" authorId="0" shapeId="0" xr:uid="{00000000-0006-0000-0000-000001000000}">
      <text>
        <r>
          <rPr>
            <sz val="10"/>
            <color rgb="FF000000"/>
            <rFont val="Arial"/>
            <family val="2"/>
          </rPr>
          <t xml:space="preserve">
Comment:
    TAKEN FROM FIGURE 1</t>
        </r>
      </text>
    </comment>
    <comment ref="J2" authorId="1" shapeId="0" xr:uid="{00000000-0006-0000-0000-000002000000}">
      <text>
        <r>
          <rPr>
            <sz val="10"/>
            <color rgb="FF000000"/>
            <rFont val="Arial"/>
            <family val="2"/>
          </rPr>
          <t>smallest female
	-Joshua Ennen</t>
        </r>
      </text>
    </comment>
    <comment ref="T2" authorId="1" shapeId="0" xr:uid="{00000000-0006-0000-0000-000003000000}">
      <text>
        <r>
          <rPr>
            <sz val="10"/>
            <color rgb="FF000000"/>
            <rFont val="Arial"/>
            <family val="2"/>
          </rPr>
          <t>WIthin a year. this doesn't account for skipping years.
	-Joshua Ennen</t>
        </r>
      </text>
    </comment>
    <comment ref="J3" authorId="2" shapeId="0" xr:uid="{00000000-0006-0000-0000-000004000000}">
      <text>
        <r>
          <rPr>
            <sz val="10"/>
            <color rgb="FF000000"/>
            <rFont val="Arial"/>
            <family val="2"/>
          </rPr>
          <t xml:space="preserve">
Comment:
    estimated from BM-CL regression database using Georges and Kennett (1989)</t>
        </r>
      </text>
    </comment>
    <comment ref="O5" authorId="3" shapeId="0" xr:uid="{00000000-0006-0000-0000-00000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a EL/EW ratio</t>
        </r>
      </text>
    </comment>
    <comment ref="O6" authorId="4" shapeId="0" xr:uid="{00000000-0006-0000-0000-00000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a EL/EW ratio</t>
        </r>
      </text>
    </comment>
    <comment ref="L9" authorId="5" shapeId="0" xr:uid="{00000000-0006-0000-0000-000007000000}">
      <text>
        <r>
          <rPr>
            <sz val="10"/>
            <color rgb="FF000000"/>
            <rFont val="Arial"/>
            <family val="2"/>
          </rPr>
          <t xml:space="preserve">
Comment:
    N =1</t>
        </r>
      </text>
    </comment>
    <comment ref="G10" authorId="6" shapeId="0" xr:uid="{00000000-0006-0000-0000-000008000000}">
      <text>
        <r>
          <rPr>
            <sz val="10"/>
            <color rgb="FF000000"/>
            <rFont val="Arial"/>
            <family val="2"/>
          </rPr>
          <t xml:space="preserve">
Comment:
    estimated from the publication. The authors report eggs were taken upstream above tidal and salinity influences. They said the location was between the following grids: FKg64736 and GK46837</t>
        </r>
      </text>
    </comment>
    <comment ref="L15" authorId="7" shapeId="0" xr:uid="{00000000-0006-0000-0000-000009000000}">
      <text>
        <r>
          <rPr>
            <b/>
            <sz val="9"/>
            <color indexed="81"/>
            <rFont val="Tahoma"/>
            <family val="2"/>
          </rPr>
          <t>JEnnen:</t>
        </r>
        <r>
          <rPr>
            <sz val="9"/>
            <color indexed="81"/>
            <rFont val="Tahoma"/>
            <family val="2"/>
          </rPr>
          <t xml:space="preserve">
4-8</t>
        </r>
      </text>
    </comment>
    <comment ref="P15" authorId="8" shapeId="0" xr:uid="{00000000-0006-0000-0000-00000A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11-20 by taking median</t>
        </r>
      </text>
    </comment>
    <comment ref="P18" authorId="9" shapeId="0" xr:uid="{00000000-0006-0000-0000-00000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(July 2020)</t>
        </r>
      </text>
    </comment>
    <comment ref="P19" authorId="10" shapeId="0" xr:uid="{00000000-0006-0000-0000-00000C000000}">
      <text>
        <r>
          <rPr>
            <b/>
            <sz val="9"/>
            <color indexed="81"/>
            <rFont val="Arial"/>
            <family val="2"/>
          </rPr>
          <t>John Iverson:</t>
        </r>
        <r>
          <rPr>
            <sz val="9"/>
            <color indexed="81"/>
            <rFont val="Arial"/>
            <family val="2"/>
          </rPr>
          <t xml:space="preserve">
estimated from our egg data set for this species</t>
        </r>
      </text>
    </comment>
    <comment ref="P20" authorId="7" shapeId="0" xr:uid="{00000000-0006-0000-0000-00000D000000}">
      <text>
        <r>
          <rPr>
            <b/>
            <sz val="9"/>
            <color indexed="81"/>
            <rFont val="Tahoma"/>
            <family val="2"/>
          </rPr>
          <t>JEnnen:</t>
        </r>
        <r>
          <rPr>
            <sz val="9"/>
            <color indexed="81"/>
            <rFont val="Tahoma"/>
            <family val="2"/>
          </rPr>
          <t xml:space="preserve">
4-5 reported</t>
        </r>
      </text>
    </comment>
    <comment ref="L22" authorId="7" shapeId="0" xr:uid="{00000000-0006-0000-0000-00000E000000}">
      <text>
        <r>
          <rPr>
            <b/>
            <sz val="9"/>
            <color indexed="81"/>
            <rFont val="Tahoma"/>
            <family val="2"/>
          </rPr>
          <t>JEnnen:</t>
        </r>
        <r>
          <rPr>
            <sz val="9"/>
            <color indexed="81"/>
            <rFont val="Tahoma"/>
            <family val="2"/>
          </rPr>
          <t xml:space="preserve">
4-5</t>
        </r>
      </text>
    </comment>
    <comment ref="P22" authorId="11" shapeId="0" xr:uid="{00000000-0006-0000-0000-00000F000000}">
      <text>
        <r>
          <rPr>
            <b/>
            <sz val="9"/>
            <color indexed="81"/>
            <rFont val="Tahoma"/>
            <family val="2"/>
          </rPr>
          <t>TNACI:</t>
        </r>
        <r>
          <rPr>
            <sz val="9"/>
            <color indexed="81"/>
            <rFont val="Tahoma"/>
            <family val="2"/>
          </rPr>
          <t xml:space="preserve">
estimated from EM = 0.186EL + 0.394EW - 5.219 Iverson unpublished data (July 2020)</t>
        </r>
      </text>
    </comment>
    <comment ref="G23" authorId="12" shapeId="0" xr:uid="{00000000-0006-0000-0000-000010000000}">
      <text>
        <r>
          <rPr>
            <sz val="10"/>
            <color rgb="FF000000"/>
            <rFont val="Arial"/>
            <family val="2"/>
          </rPr>
          <t xml:space="preserve">
Comment:
    ca. -22.9</t>
        </r>
      </text>
    </comment>
    <comment ref="J23" authorId="13" shapeId="0" xr:uid="{00000000-0006-0000-0000-000011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BM-CL regression dataset using Rhinemys rufipes by Lamar and Medem (1982) (Aug 2020)</t>
        </r>
      </text>
    </comment>
    <comment ref="J24" authorId="10" shapeId="0" xr:uid="{00000000-0006-0000-0000-000012000000}">
      <text>
        <r>
          <rPr>
            <b/>
            <sz val="9"/>
            <color indexed="81"/>
            <rFont val="Arial"/>
            <family val="2"/>
          </rPr>
          <t>John Iverson:</t>
        </r>
        <r>
          <rPr>
            <sz val="9"/>
            <color indexed="81"/>
            <rFont val="Arial"/>
            <family val="2"/>
          </rPr>
          <t xml:space="preserve">
post nest</t>
        </r>
      </text>
    </comment>
    <comment ref="P26" authorId="14" shapeId="0" xr:uid="{00000000-0006-0000-0000-000013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from D'Amato and Morato (1991)</t>
        </r>
      </text>
    </comment>
    <comment ref="J27" authorId="15" shapeId="0" xr:uid="{00000000-0006-0000-0000-000014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BM-CL regression dataset using Rhinemys rufipes by Lamar and Medem (1982) (Aug 2020)</t>
        </r>
      </text>
    </comment>
    <comment ref="J28" authorId="10" shapeId="0" xr:uid="{00000000-0006-0000-0000-000015000000}">
      <text>
        <r>
          <rPr>
            <b/>
            <sz val="9"/>
            <color indexed="81"/>
            <rFont val="Arial"/>
            <family val="2"/>
          </rPr>
          <t>John Iverson:</t>
        </r>
        <r>
          <rPr>
            <sz val="9"/>
            <color indexed="81"/>
            <rFont val="Arial"/>
            <family val="2"/>
          </rPr>
          <t xml:space="preserve">
estimated from our BM-CL data set for R. rufipes</t>
        </r>
      </text>
    </comment>
    <comment ref="P28" authorId="10" shapeId="0" xr:uid="{00000000-0006-0000-0000-000016000000}">
      <text>
        <r>
          <rPr>
            <b/>
            <sz val="9"/>
            <color indexed="81"/>
            <rFont val="Arial"/>
            <family val="2"/>
          </rPr>
          <t>John Iverson:</t>
        </r>
        <r>
          <rPr>
            <sz val="9"/>
            <color indexed="81"/>
            <rFont val="Arial"/>
            <family val="2"/>
          </rPr>
          <t xml:space="preserve">
Estimated from our egg data set for A. pallidipectoris</t>
        </r>
      </text>
    </comment>
    <comment ref="J29" authorId="10" shapeId="0" xr:uid="{00000000-0006-0000-0000-000017000000}">
      <text>
        <r>
          <rPr>
            <b/>
            <sz val="9"/>
            <color indexed="81"/>
            <rFont val="Arial"/>
            <family val="2"/>
          </rPr>
          <t>John Iverson:</t>
        </r>
        <r>
          <rPr>
            <sz val="9"/>
            <color indexed="81"/>
            <rFont val="Arial"/>
            <family val="2"/>
          </rPr>
          <t xml:space="preserve">
post nest</t>
        </r>
      </text>
    </comment>
    <comment ref="J32" authorId="16" shapeId="0" xr:uid="{00000000-0006-0000-0000-00001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 expansa (Oct 2020)</t>
        </r>
      </text>
    </comment>
    <comment ref="J33" authorId="17" shapeId="0" xr:uid="{00000000-0006-0000-0000-00001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Chessman (1978)</t>
        </r>
      </text>
    </comment>
    <comment ref="J36" authorId="18" shapeId="0" xr:uid="{00000000-0006-0000-0000-00001A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Chessman (1978)</t>
        </r>
      </text>
    </comment>
    <comment ref="I37" authorId="19" shapeId="0" xr:uid="{00000000-0006-0000-0000-00001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Fig. 4.2 in thesis</t>
        </r>
      </text>
    </comment>
    <comment ref="J37" authorId="20" shapeId="0" xr:uid="{00000000-0006-0000-0000-00001C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Chessman (1978)</t>
        </r>
      </text>
    </comment>
    <comment ref="J38" authorId="21" shapeId="0" xr:uid="{00000000-0006-0000-0000-00001D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Chessman (1978)</t>
        </r>
      </text>
    </comment>
    <comment ref="J40" authorId="22" shapeId="0" xr:uid="{00000000-0006-0000-0000-00001E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Chessman (1978)</t>
        </r>
      </text>
    </comment>
    <comment ref="L40" authorId="23" shapeId="0" xr:uid="{00000000-0006-0000-0000-00001F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ca. 20</t>
        </r>
      </text>
    </comment>
    <comment ref="K44" authorId="7" shapeId="0" xr:uid="{00000000-0006-0000-0000-000020000000}">
      <text>
        <r>
          <rPr>
            <b/>
            <sz val="9"/>
            <color indexed="81"/>
            <rFont val="Tahoma"/>
            <family val="2"/>
          </rPr>
          <t>JEnnen:</t>
        </r>
        <r>
          <rPr>
            <sz val="9"/>
            <color indexed="81"/>
            <rFont val="Tahoma"/>
            <family val="2"/>
          </rPr>
          <t xml:space="preserve">
14-15 reported</t>
        </r>
      </text>
    </comment>
    <comment ref="P45" authorId="11" shapeId="0" xr:uid="{00000000-0006-0000-0000-000021000000}">
      <text>
        <r>
          <rPr>
            <b/>
            <sz val="9"/>
            <color indexed="81"/>
            <rFont val="Tahoma"/>
            <family val="2"/>
          </rPr>
          <t>TNACI:</t>
        </r>
        <r>
          <rPr>
            <sz val="9"/>
            <color indexed="81"/>
            <rFont val="Tahoma"/>
            <family val="2"/>
          </rPr>
          <t xml:space="preserve">
estimated from EM = 0.543EL + 0.891EW - 28.409
Iverson unpublished data (July 2020)
</t>
        </r>
      </text>
    </comment>
    <comment ref="P49" authorId="24" shapeId="0" xr:uid="{00000000-0006-0000-0000-00002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A. Georges pers.comm. (Oct 2020)</t>
        </r>
      </text>
    </comment>
    <comment ref="J51" authorId="11" shapeId="0" xr:uid="{00000000-0006-0000-0000-000023000000}">
      <text>
        <r>
          <rPr>
            <b/>
            <sz val="9"/>
            <color indexed="81"/>
            <rFont val="Tahoma"/>
            <family val="2"/>
          </rPr>
          <t>TNACI:</t>
        </r>
        <r>
          <rPr>
            <sz val="9"/>
            <color indexed="81"/>
            <rFont val="Tahoma"/>
            <family val="2"/>
          </rPr>
          <t xml:space="preserve">
Estimated from BM = 0.200*CL^2.78 (Chessman 1978)</t>
        </r>
      </text>
    </comment>
    <comment ref="K51" authorId="7" shapeId="0" xr:uid="{00000000-0006-0000-0000-000024000000}">
      <text>
        <r>
          <rPr>
            <b/>
            <sz val="9"/>
            <color indexed="81"/>
            <rFont val="Tahoma"/>
            <family val="2"/>
          </rPr>
          <t>JEnnen:</t>
        </r>
        <r>
          <rPr>
            <sz val="9"/>
            <color indexed="81"/>
            <rFont val="Tahoma"/>
            <family val="2"/>
          </rPr>
          <t xml:space="preserve">
8-12 reported</t>
        </r>
      </text>
    </comment>
    <comment ref="N51" authorId="7" shapeId="0" xr:uid="{00000000-0006-0000-0000-000025000000}">
      <text>
        <r>
          <rPr>
            <b/>
            <sz val="9"/>
            <color indexed="81"/>
            <rFont val="Tahoma"/>
            <family val="2"/>
          </rPr>
          <t>JEnnen:</t>
        </r>
        <r>
          <rPr>
            <sz val="9"/>
            <color indexed="81"/>
            <rFont val="Tahoma"/>
            <family val="2"/>
          </rPr>
          <t xml:space="preserve">
31.8-32.7 reported</t>
        </r>
      </text>
    </comment>
    <comment ref="I54" authorId="25" shapeId="0" xr:uid="{00000000-0006-0000-0000-00002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BM = 0.200*CL^2.78 Chessman 1978</t>
        </r>
      </text>
    </comment>
    <comment ref="I56" authorId="1" shapeId="0" xr:uid="{00000000-0006-0000-0000-000027000000}">
      <text>
        <r>
          <rPr>
            <sz val="10"/>
            <color rgb="FF000000"/>
            <rFont val="Arial"/>
            <family val="2"/>
          </rPr>
          <t>Taken from table 1 and based on females.
	-Joshua Ennen</t>
        </r>
      </text>
    </comment>
    <comment ref="J56" authorId="11" shapeId="0" xr:uid="{00000000-0006-0000-0000-000028000000}">
      <text>
        <r>
          <rPr>
            <b/>
            <sz val="9"/>
            <color indexed="81"/>
            <rFont val="Tahoma"/>
            <family val="2"/>
          </rPr>
          <t>TNACI:</t>
        </r>
        <r>
          <rPr>
            <sz val="9"/>
            <color indexed="81"/>
            <rFont val="Tahoma"/>
            <family val="2"/>
          </rPr>
          <t xml:space="preserve">
Estimated from BM = 0.200*CL^2.78 (Chessman 1978)</t>
        </r>
      </text>
    </comment>
    <comment ref="N56" authorId="26" shapeId="0" xr:uid="{00000000-0006-0000-0000-00002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0.249EL + 0.698EW - 14.434 Iverson unpublished data (July 2020)</t>
        </r>
      </text>
    </comment>
    <comment ref="R56" authorId="1" shapeId="0" xr:uid="{00000000-0006-0000-0000-00002A000000}">
      <text>
        <r>
          <rPr>
            <sz val="10"/>
            <color rgb="FF000000"/>
            <rFont val="Arial"/>
            <family val="2"/>
          </rPr>
          <t>estimated from mean egg mass and mean clutch size
	-Joshua Ennen</t>
        </r>
      </text>
    </comment>
    <comment ref="T59" authorId="7" shapeId="0" xr:uid="{00000000-0006-0000-0000-00002B000000}">
      <text>
        <r>
          <rPr>
            <b/>
            <sz val="9"/>
            <color indexed="81"/>
            <rFont val="Tahoma"/>
            <family val="2"/>
          </rPr>
          <t>JEnnen:</t>
        </r>
        <r>
          <rPr>
            <sz val="9"/>
            <color indexed="81"/>
            <rFont val="Tahoma"/>
            <family val="2"/>
          </rPr>
          <t xml:space="preserve">
2-3 reported</t>
        </r>
      </text>
    </comment>
    <comment ref="P61" authorId="11" shapeId="0" xr:uid="{00000000-0006-0000-0000-00002C000000}">
      <text>
        <r>
          <rPr>
            <b/>
            <sz val="9"/>
            <color indexed="81"/>
            <rFont val="Tahoma"/>
            <family val="2"/>
          </rPr>
          <t>TNACI:</t>
        </r>
        <r>
          <rPr>
            <sz val="9"/>
            <color indexed="81"/>
            <rFont val="Tahoma"/>
            <family val="2"/>
          </rPr>
          <t xml:space="preserve">
estimated from EM = 0.249EL + 0.698EW - 14.434 Iverson unpublished data (July 2020)</t>
        </r>
      </text>
    </comment>
    <comment ref="N62" authorId="27" shapeId="0" xr:uid="{00000000-0006-0000-0000-00002D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0.249EL + 0.698EW - 14.434 Iverson unpublished data (July 2020)</t>
        </r>
      </text>
    </comment>
    <comment ref="J63" authorId="11" shapeId="0" xr:uid="{00000000-0006-0000-0000-00002E000000}">
      <text>
        <r>
          <rPr>
            <b/>
            <sz val="9"/>
            <color indexed="81"/>
            <rFont val="Tahoma"/>
            <family val="2"/>
          </rPr>
          <t>TNACI:</t>
        </r>
        <r>
          <rPr>
            <sz val="9"/>
            <color indexed="81"/>
            <rFont val="Tahoma"/>
            <family val="2"/>
          </rPr>
          <t xml:space="preserve">
Estimated from BM = 0.200*CL^2.78 (Chessman 1978)</t>
        </r>
      </text>
    </comment>
    <comment ref="L63" authorId="7" shapeId="0" xr:uid="{00000000-0006-0000-0000-00002F000000}">
      <text>
        <r>
          <rPr>
            <b/>
            <sz val="9"/>
            <color indexed="81"/>
            <rFont val="Tahoma"/>
            <family val="2"/>
          </rPr>
          <t>JEnnen:</t>
        </r>
        <r>
          <rPr>
            <sz val="9"/>
            <color indexed="81"/>
            <rFont val="Tahoma"/>
            <family val="2"/>
          </rPr>
          <t xml:space="preserve">
'9-12</t>
        </r>
      </text>
    </comment>
    <comment ref="P63" authorId="7" shapeId="0" xr:uid="{00000000-0006-0000-0000-000030000000}">
      <text>
        <r>
          <rPr>
            <b/>
            <sz val="9"/>
            <color indexed="81"/>
            <rFont val="Tahoma"/>
            <family val="2"/>
          </rPr>
          <t>JEnnen:</t>
        </r>
        <r>
          <rPr>
            <sz val="9"/>
            <color indexed="81"/>
            <rFont val="Tahoma"/>
            <family val="2"/>
          </rPr>
          <t xml:space="preserve">
6-10 reported</t>
        </r>
      </text>
    </comment>
    <comment ref="P65" authorId="11" shapeId="0" xr:uid="{00000000-0006-0000-0000-000031000000}">
      <text>
        <r>
          <rPr>
            <b/>
            <sz val="9"/>
            <color indexed="81"/>
            <rFont val="Tahoma"/>
            <family val="2"/>
          </rPr>
          <t>TNACI:</t>
        </r>
        <r>
          <rPr>
            <sz val="9"/>
            <color indexed="81"/>
            <rFont val="Tahoma"/>
            <family val="2"/>
          </rPr>
          <t xml:space="preserve">
estimated from EM = 0.249EL + 0.698EW - 14.434 Iverson unpublished data (July 2020)</t>
        </r>
      </text>
    </comment>
    <comment ref="J67" authorId="28" shapeId="0" xr:uid="{00000000-0006-0000-0000-00003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databaser using Cuora amboinensis Paul Crow (pers. comm.)</t>
        </r>
      </text>
    </comment>
    <comment ref="L67" authorId="29" shapeId="0" xr:uid="{00000000-0006-0000-0000-000033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up to 16</t>
        </r>
      </text>
    </comment>
    <comment ref="P67" authorId="30" shapeId="0" xr:uid="{00000000-0006-0000-0000-000034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6-8 by taking median</t>
        </r>
      </text>
    </comment>
    <comment ref="J69" authorId="31" shapeId="0" xr:uid="{00000000-0006-0000-0000-00003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 (July 2020)</t>
        </r>
      </text>
    </comment>
    <comment ref="N70" authorId="10" shapeId="0" xr:uid="{00000000-0006-0000-0000-000036000000}">
      <text>
        <r>
          <rPr>
            <b/>
            <sz val="9"/>
            <color indexed="81"/>
            <rFont val="Arial"/>
            <family val="2"/>
          </rPr>
          <t>John Iverson:</t>
        </r>
        <r>
          <rPr>
            <sz val="9"/>
            <color indexed="81"/>
            <rFont val="Arial"/>
            <family val="2"/>
          </rPr>
          <t xml:space="preserve">
"27-32"</t>
        </r>
      </text>
    </comment>
    <comment ref="O70" authorId="10" shapeId="0" xr:uid="{00000000-0006-0000-0000-000037000000}">
      <text>
        <r>
          <rPr>
            <b/>
            <sz val="9"/>
            <color indexed="81"/>
            <rFont val="Arial"/>
            <family val="2"/>
          </rPr>
          <t>John Iverson:</t>
        </r>
        <r>
          <rPr>
            <sz val="9"/>
            <color indexed="81"/>
            <rFont val="Arial"/>
            <family val="2"/>
          </rPr>
          <t xml:space="preserve">
"18-20"</t>
        </r>
      </text>
    </comment>
    <comment ref="P70" authorId="10" shapeId="0" xr:uid="{00000000-0006-0000-0000-000038000000}">
      <text>
        <r>
          <rPr>
            <b/>
            <sz val="9"/>
            <color indexed="81"/>
            <rFont val="Arial"/>
            <family val="2"/>
          </rPr>
          <t>John Iverson:</t>
        </r>
        <r>
          <rPr>
            <sz val="9"/>
            <color indexed="81"/>
            <rFont val="Arial"/>
            <family val="2"/>
          </rPr>
          <t xml:space="preserve">
estimated from our egg data set for C. longicollis</t>
        </r>
      </text>
    </comment>
    <comment ref="J71" authorId="32" shapeId="0" xr:uid="{00000000-0006-0000-0000-00003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 (July 2020)</t>
        </r>
      </text>
    </comment>
    <comment ref="N71" authorId="7" shapeId="0" xr:uid="{00000000-0006-0000-0000-00003A000000}">
      <text>
        <r>
          <rPr>
            <b/>
            <sz val="9"/>
            <color indexed="81"/>
            <rFont val="Tahoma"/>
            <family val="2"/>
          </rPr>
          <t>JEnnen:</t>
        </r>
        <r>
          <rPr>
            <sz val="9"/>
            <color indexed="81"/>
            <rFont val="Tahoma"/>
            <family val="2"/>
          </rPr>
          <t xml:space="preserve">
30-35 reported</t>
        </r>
      </text>
    </comment>
    <comment ref="O71" authorId="7" shapeId="0" xr:uid="{00000000-0006-0000-0000-00003B000000}">
      <text>
        <r>
          <rPr>
            <b/>
            <sz val="9"/>
            <color indexed="81"/>
            <rFont val="Tahoma"/>
            <family val="2"/>
          </rPr>
          <t>JEnnen:</t>
        </r>
        <r>
          <rPr>
            <sz val="9"/>
            <color indexed="81"/>
            <rFont val="Tahoma"/>
            <family val="2"/>
          </rPr>
          <t xml:space="preserve">
30-35 reported</t>
        </r>
      </text>
    </comment>
    <comment ref="I72" authorId="33" shapeId="0" xr:uid="{00000000-0006-0000-0000-00003C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error in the original paper.  "C. colliei Clay 1981.  CL needes to be changed to 19.35.  In his table 6 he provides a CL column and a CW column but there is clearly a typo in the heading since CW cannot exceed CL.  The paper says CL = 12.51, but clearly he means CL = 19.35. "</t>
        </r>
      </text>
    </comment>
    <comment ref="J73" authorId="34" shapeId="0" xr:uid="{00000000-0006-0000-0000-00003D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Kuchling (2002)</t>
        </r>
      </text>
    </comment>
    <comment ref="P73" authorId="35" shapeId="0" xr:uid="{00000000-0006-0000-0000-00003E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egg data using C. longicollis (July 2020) using A. Georges pers.comm.</t>
        </r>
      </text>
    </comment>
    <comment ref="L74" authorId="36" shapeId="0" xr:uid="{00000000-0006-0000-0000-00003F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up to 16</t>
        </r>
      </text>
    </comment>
    <comment ref="F75" authorId="1" shapeId="0" xr:uid="{00000000-0006-0000-0000-000040000000}">
      <text>
        <r>
          <rPr>
            <sz val="10"/>
            <color rgb="FF000000"/>
            <rFont val="Arial"/>
            <family val="2"/>
          </rPr>
          <t>This cannot be correct. C. oblonga is only located in Northern Australia and New Guinea, and Lake Coolelal is in Western Australia
	-Joshua Ennen</t>
        </r>
      </text>
    </comment>
    <comment ref="P77" authorId="10" shapeId="0" xr:uid="{00000000-0006-0000-0000-000041000000}">
      <text>
        <r>
          <rPr>
            <b/>
            <sz val="9"/>
            <color indexed="81"/>
            <rFont val="Arial"/>
            <family val="2"/>
          </rPr>
          <t>John Iverson:</t>
        </r>
        <r>
          <rPr>
            <sz val="9"/>
            <color indexed="81"/>
            <rFont val="Arial"/>
            <family val="2"/>
          </rPr>
          <t xml:space="preserve">
estimated from our egg data set from Phrynops geoffroanus</t>
        </r>
      </text>
    </comment>
    <comment ref="J78" authorId="37" shapeId="0" xr:uid="{00000000-0006-0000-0000-00004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via C. oblonga using Büttner (2016).</t>
        </r>
      </text>
    </comment>
    <comment ref="P78" authorId="38" shapeId="0" xr:uid="{00000000-0006-0000-0000-000043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from C. expansa (Oct 2020)</t>
        </r>
      </text>
    </comment>
    <comment ref="P81" authorId="39" shapeId="0" xr:uid="{00000000-0006-0000-0000-000044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P. geoffroanus (Oct 2020)</t>
        </r>
      </text>
    </comment>
    <comment ref="T81" authorId="7" shapeId="0" xr:uid="{00000000-0006-0000-0000-000045000000}">
      <text>
        <r>
          <rPr>
            <b/>
            <sz val="9"/>
            <color indexed="81"/>
            <rFont val="Tahoma"/>
            <family val="2"/>
          </rPr>
          <t>JEnnen:</t>
        </r>
        <r>
          <rPr>
            <sz val="9"/>
            <color indexed="81"/>
            <rFont val="Tahoma"/>
            <family val="2"/>
          </rPr>
          <t xml:space="preserve">
2-3 reported</t>
        </r>
      </text>
    </comment>
    <comment ref="N83" authorId="40" shapeId="0" xr:uid="{00000000-0006-0000-0000-00004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using P. geoffroanus</t>
        </r>
      </text>
    </comment>
    <comment ref="O83" authorId="41" shapeId="0" xr:uid="{00000000-0006-0000-0000-00004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using P. geoffroanus</t>
        </r>
      </text>
    </comment>
    <comment ref="J87" authorId="42" shapeId="0" xr:uid="{00000000-0006-0000-0000-00004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 (July 2020)</t>
        </r>
      </text>
    </comment>
    <comment ref="P87" authorId="10" shapeId="0" xr:uid="{00000000-0006-0000-0000-000049000000}">
      <text>
        <r>
          <rPr>
            <b/>
            <sz val="9"/>
            <color indexed="81"/>
            <rFont val="Arial"/>
            <family val="2"/>
          </rPr>
          <t>John Iverson:</t>
        </r>
        <r>
          <rPr>
            <sz val="9"/>
            <color indexed="81"/>
            <rFont val="Arial"/>
            <family val="2"/>
          </rPr>
          <t xml:space="preserve">
estimated from our egg data set for C. expansa (July 2020)</t>
        </r>
      </text>
    </comment>
    <comment ref="D89" authorId="10" shapeId="0" xr:uid="{00000000-0006-0000-0000-00004A000000}">
      <text>
        <r>
          <rPr>
            <b/>
            <sz val="9"/>
            <color indexed="81"/>
            <rFont val="Arial"/>
            <family val="2"/>
          </rPr>
          <t>John Iverson:</t>
        </r>
        <r>
          <rPr>
            <sz val="9"/>
            <color indexed="81"/>
            <rFont val="Arial"/>
            <family val="2"/>
          </rPr>
          <t xml:space="preserve">
listed as siebenrocki - a synonym</t>
        </r>
      </text>
    </comment>
    <comment ref="I89" authorId="43" shapeId="0" xr:uid="{00000000-0006-0000-0000-00004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t>
        </r>
      </text>
    </comment>
    <comment ref="R89" authorId="10" shapeId="0" xr:uid="{00000000-0006-0000-0000-00004C000000}">
      <text>
        <r>
          <rPr>
            <b/>
            <sz val="9"/>
            <color indexed="81"/>
            <rFont val="Arial"/>
            <family val="2"/>
          </rPr>
          <t>John Iverson:</t>
        </r>
        <r>
          <rPr>
            <sz val="9"/>
            <color indexed="81"/>
            <rFont val="Arial"/>
            <family val="2"/>
          </rPr>
          <t xml:space="preserve">
cannot be correct
</t>
        </r>
      </text>
    </comment>
    <comment ref="J90" authorId="44" shapeId="0" xr:uid="{00000000-0006-0000-0000-00004D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 (July 2020)</t>
        </r>
      </text>
    </comment>
    <comment ref="T90" authorId="7" shapeId="0" xr:uid="{00000000-0006-0000-0000-00004E000000}">
      <text>
        <r>
          <rPr>
            <b/>
            <sz val="9"/>
            <color indexed="81"/>
            <rFont val="Tahoma"/>
            <family val="2"/>
          </rPr>
          <t>JEnnen:</t>
        </r>
        <r>
          <rPr>
            <sz val="9"/>
            <color indexed="81"/>
            <rFont val="Tahoma"/>
            <family val="2"/>
          </rPr>
          <t xml:space="preserve">
2-4 reported</t>
        </r>
      </text>
    </comment>
    <comment ref="J91" authorId="45" shapeId="0" xr:uid="{00000000-0006-0000-0000-00004F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 (July 2020)</t>
        </r>
      </text>
    </comment>
    <comment ref="D92" authorId="10" shapeId="0" xr:uid="{00000000-0006-0000-0000-000050000000}">
      <text>
        <r>
          <rPr>
            <b/>
            <sz val="9"/>
            <color indexed="81"/>
            <rFont val="Arial"/>
            <family val="2"/>
          </rPr>
          <t>John Iverson:</t>
        </r>
        <r>
          <rPr>
            <sz val="9"/>
            <color indexed="81"/>
            <rFont val="Arial"/>
            <family val="2"/>
          </rPr>
          <t xml:space="preserve">
"siebenrocki" (a synonym) in original paper</t>
        </r>
      </text>
    </comment>
    <comment ref="D93" authorId="10" shapeId="0" xr:uid="{00000000-0006-0000-0000-000051000000}">
      <text>
        <r>
          <rPr>
            <b/>
            <sz val="9"/>
            <color indexed="81"/>
            <rFont val="Arial"/>
            <family val="2"/>
          </rPr>
          <t>John Iverson:</t>
        </r>
        <r>
          <rPr>
            <sz val="9"/>
            <color indexed="81"/>
            <rFont val="Arial"/>
            <family val="2"/>
          </rPr>
          <t xml:space="preserve">
"siebenrocki" (synonym) in origianl paper.</t>
        </r>
      </text>
    </comment>
    <comment ref="J93" authorId="46" shapeId="0" xr:uid="{00000000-0006-0000-0000-00005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 (July 2020)</t>
        </r>
      </text>
    </comment>
    <comment ref="P93" authorId="10" shapeId="0" xr:uid="{00000000-0006-0000-0000-000053000000}">
      <text>
        <r>
          <rPr>
            <b/>
            <sz val="9"/>
            <color indexed="81"/>
            <rFont val="Arial"/>
            <family val="2"/>
          </rPr>
          <t>John Iverson:</t>
        </r>
        <r>
          <rPr>
            <sz val="9"/>
            <color indexed="81"/>
            <rFont val="Arial"/>
            <family val="2"/>
          </rPr>
          <t xml:space="preserve">
estimated from our egg data set for C. expansa (July 2020)</t>
        </r>
      </text>
    </comment>
    <comment ref="T93" authorId="7" shapeId="0" xr:uid="{00000000-0006-0000-0000-000054000000}">
      <text>
        <r>
          <rPr>
            <b/>
            <sz val="9"/>
            <color indexed="81"/>
            <rFont val="Tahoma"/>
            <family val="2"/>
          </rPr>
          <t>JEnnen:</t>
        </r>
        <r>
          <rPr>
            <sz val="9"/>
            <color indexed="81"/>
            <rFont val="Tahoma"/>
            <family val="2"/>
          </rPr>
          <t xml:space="preserve">
1-2 reported</t>
        </r>
      </text>
    </comment>
    <comment ref="J94" authorId="47" shapeId="0" xr:uid="{00000000-0006-0000-0000-00005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(Büttner 2016) from Chelodina oblonga (July 2020)</t>
        </r>
      </text>
    </comment>
    <comment ref="J95" authorId="48" shapeId="0" xr:uid="{00000000-0006-0000-0000-00005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via C. oblonga using Büttner (2016).</t>
        </r>
      </text>
    </comment>
    <comment ref="P95" authorId="49" shapeId="0" xr:uid="{00000000-0006-0000-0000-00005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C. longicollis (Oct 2020)</t>
        </r>
      </text>
    </comment>
    <comment ref="T95" authorId="50" shapeId="0" xr:uid="{00000000-0006-0000-0000-00005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Deleted duplicate had two clutches per year</t>
        </r>
      </text>
    </comment>
    <comment ref="D97" authorId="51" shapeId="0" xr:uid="{00000000-0006-0000-0000-000059000000}">
      <text>
        <r>
          <rPr>
            <sz val="10"/>
            <color rgb="FF000000"/>
            <rFont val="Arial"/>
            <family val="2"/>
          </rPr>
          <t>[
Comment:
    couldn't determine which species..."could be C. orinocensis"</t>
        </r>
      </text>
    </comment>
    <comment ref="D98" authorId="52" shapeId="0" xr:uid="{00000000-0006-0000-0000-00005A000000}">
      <text>
        <r>
          <rPr>
            <sz val="10"/>
            <color rgb="FF000000"/>
            <rFont val="Arial"/>
            <family val="2"/>
          </rPr>
          <t>[
Comment:
    couldn't determine which species..."could be C. orinocensis"</t>
        </r>
      </text>
    </comment>
    <comment ref="I98" authorId="53" shapeId="0" xr:uid="{00000000-0006-0000-0000-00005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Iverson unpublished data</t>
        </r>
      </text>
    </comment>
    <comment ref="D99" authorId="54" shapeId="0" xr:uid="{00000000-0006-0000-0000-00005C000000}">
      <text>
        <r>
          <rPr>
            <sz val="10"/>
            <color rgb="FF000000"/>
            <rFont val="Arial"/>
            <family val="2"/>
          </rPr>
          <t xml:space="preserve">
Comment:
    couldn't determine which species..."could be C. orinocensis"</t>
        </r>
      </text>
    </comment>
    <comment ref="I99" authorId="10" shapeId="0" xr:uid="{00000000-0006-0000-0000-00005D000000}">
      <text>
        <r>
          <rPr>
            <b/>
            <sz val="9"/>
            <color indexed="81"/>
            <rFont val="Arial"/>
            <family val="2"/>
          </rPr>
          <t>John Iverson:</t>
        </r>
        <r>
          <rPr>
            <sz val="9"/>
            <color indexed="81"/>
            <rFont val="Arial"/>
            <family val="2"/>
          </rPr>
          <t xml:space="preserve">
"25-30"</t>
        </r>
      </text>
    </comment>
    <comment ref="J100" authorId="55" shapeId="0" xr:uid="{00000000-0006-0000-0000-00005E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BM_CL regression databased (Buttner 2014)</t>
        </r>
      </text>
    </comment>
    <comment ref="N101" authorId="7" shapeId="0" xr:uid="{00000000-0006-0000-0000-00005F000000}">
      <text>
        <r>
          <rPr>
            <b/>
            <sz val="9"/>
            <color indexed="81"/>
            <rFont val="Tahoma"/>
            <family val="2"/>
          </rPr>
          <t>JEnnen:</t>
        </r>
        <r>
          <rPr>
            <sz val="9"/>
            <color indexed="81"/>
            <rFont val="Tahoma"/>
            <family val="2"/>
          </rPr>
          <t xml:space="preserve">
35-39 reported</t>
        </r>
      </text>
    </comment>
    <comment ref="P101" authorId="56" shapeId="0" xr:uid="{00000000-0006-0000-0000-000060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25-40 by taking median</t>
        </r>
      </text>
    </comment>
    <comment ref="D102" authorId="57" shapeId="0" xr:uid="{00000000-0006-0000-0000-000061000000}">
      <text>
        <r>
          <rPr>
            <sz val="10"/>
            <color rgb="FF000000"/>
            <rFont val="Arial"/>
            <family val="2"/>
          </rPr>
          <t xml:space="preserve">
Comment:
    couldn't determine which species..."could be C. orinocensis"</t>
        </r>
      </text>
    </comment>
    <comment ref="D103" authorId="58" shapeId="0" xr:uid="{00000000-0006-0000-0000-000062000000}">
      <text>
        <r>
          <rPr>
            <sz val="10"/>
            <color rgb="FF000000"/>
            <rFont val="Arial"/>
            <family val="2"/>
          </rPr>
          <t xml:space="preserve">
Comment:
    couldn't determine which species..."could be C. orinocensis"</t>
        </r>
      </text>
    </comment>
    <comment ref="K105" authorId="10" shapeId="0" xr:uid="{00000000-0006-0000-0000-000063000000}">
      <text>
        <r>
          <rPr>
            <b/>
            <sz val="9"/>
            <color indexed="81"/>
            <rFont val="Arial"/>
            <family val="2"/>
          </rPr>
          <t>John Iverson:</t>
        </r>
        <r>
          <rPr>
            <sz val="9"/>
            <color indexed="81"/>
            <rFont val="Arial"/>
            <family val="2"/>
          </rPr>
          <t xml:space="preserve">
"10-12"</t>
        </r>
      </text>
    </comment>
    <comment ref="L105" authorId="10" shapeId="0" xr:uid="{00000000-0006-0000-0000-000064000000}">
      <text>
        <r>
          <rPr>
            <b/>
            <sz val="9"/>
            <color indexed="81"/>
            <rFont val="Arial"/>
            <family val="2"/>
          </rPr>
          <t>John Iverson:</t>
        </r>
        <r>
          <rPr>
            <sz val="9"/>
            <color indexed="81"/>
            <rFont val="Arial"/>
            <family val="2"/>
          </rPr>
          <t xml:space="preserve">
all data only from 2005</t>
        </r>
      </text>
    </comment>
    <comment ref="O105" authorId="10" shapeId="0" xr:uid="{00000000-0006-0000-0000-000065000000}">
      <text>
        <r>
          <rPr>
            <b/>
            <sz val="9"/>
            <color indexed="81"/>
            <rFont val="Arial"/>
            <family val="2"/>
          </rPr>
          <t>John Iverson:</t>
        </r>
        <r>
          <rPr>
            <sz val="9"/>
            <color indexed="81"/>
            <rFont val="Arial"/>
            <family val="2"/>
          </rPr>
          <t xml:space="preserve">
mean of all max and min values</t>
        </r>
      </text>
    </comment>
    <comment ref="P105" authorId="10" shapeId="0" xr:uid="{00000000-0006-0000-0000-000066000000}">
      <text>
        <r>
          <rPr>
            <b/>
            <sz val="9"/>
            <color indexed="81"/>
            <rFont val="Arial"/>
            <family val="2"/>
          </rPr>
          <t>John Iverson:</t>
        </r>
        <r>
          <rPr>
            <sz val="9"/>
            <color indexed="81"/>
            <rFont val="Arial"/>
            <family val="2"/>
          </rPr>
          <t xml:space="preserve">
mean of all max and min values</t>
        </r>
      </text>
    </comment>
    <comment ref="J107" authorId="10" shapeId="0" xr:uid="{00000000-0006-0000-0000-000067000000}">
      <text>
        <r>
          <rPr>
            <b/>
            <sz val="9"/>
            <color indexed="81"/>
            <rFont val="Arial"/>
            <family val="2"/>
          </rPr>
          <t>John Iverson:</t>
        </r>
        <r>
          <rPr>
            <sz val="9"/>
            <color indexed="81"/>
            <rFont val="Arial"/>
            <family val="2"/>
          </rPr>
          <t xml:space="preserve">
estimated fom our BM-CL data set</t>
        </r>
      </text>
    </comment>
    <comment ref="P107" authorId="10" shapeId="0" xr:uid="{00000000-0006-0000-0000-000068000000}">
      <text>
        <r>
          <rPr>
            <b/>
            <sz val="9"/>
            <color indexed="81"/>
            <rFont val="Arial"/>
            <family val="2"/>
          </rPr>
          <t>John Iverson:</t>
        </r>
        <r>
          <rPr>
            <sz val="9"/>
            <color indexed="81"/>
            <rFont val="Arial"/>
            <family val="2"/>
          </rPr>
          <t xml:space="preserve">
estimated from our egg data set</t>
        </r>
      </text>
    </comment>
    <comment ref="I109" authorId="59" shapeId="0" xr:uid="{00000000-0006-0000-0000-00006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(Georges 1982)</t>
        </r>
      </text>
    </comment>
    <comment ref="R109" authorId="1" shapeId="0" xr:uid="{00000000-0006-0000-0000-00006A000000}">
      <text>
        <r>
          <rPr>
            <sz val="10"/>
            <color rgb="FF000000"/>
            <rFont val="Arial"/>
            <family val="2"/>
          </rPr>
          <t>estimated from clutch size and egg mass
	-Joshua Ennen</t>
        </r>
      </text>
    </comment>
    <comment ref="I111" authorId="1" shapeId="0" xr:uid="{00000000-0006-0000-0000-00006B000000}">
      <text>
        <r>
          <rPr>
            <sz val="10"/>
            <color rgb="FF000000"/>
            <rFont val="Arial"/>
            <family val="2"/>
          </rPr>
          <t>estimated from table 3
	-Joshua Ennen</t>
        </r>
      </text>
    </comment>
    <comment ref="J111" authorId="60" shapeId="0" xr:uid="{00000000-0006-0000-0000-00006C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(Georges 1982)</t>
        </r>
      </text>
    </comment>
    <comment ref="J112" authorId="61" shapeId="0" xr:uid="{00000000-0006-0000-0000-00006D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(Georges 1982)</t>
        </r>
      </text>
    </comment>
    <comment ref="K112" authorId="7" shapeId="0" xr:uid="{00000000-0006-0000-0000-00006E000000}">
      <text>
        <r>
          <rPr>
            <b/>
            <sz val="9"/>
            <color indexed="81"/>
            <rFont val="Tahoma"/>
            <family val="2"/>
          </rPr>
          <t>JEnnen:</t>
        </r>
        <r>
          <rPr>
            <sz val="9"/>
            <color indexed="81"/>
            <rFont val="Tahoma"/>
            <family val="2"/>
          </rPr>
          <t xml:space="preserve">
12.1-13.5 reported</t>
        </r>
      </text>
    </comment>
    <comment ref="T112" authorId="7" shapeId="0" xr:uid="{00000000-0006-0000-0000-00006F000000}">
      <text>
        <r>
          <rPr>
            <b/>
            <sz val="9"/>
            <color indexed="81"/>
            <rFont val="Tahoma"/>
            <family val="2"/>
          </rPr>
          <t>JEnnen:</t>
        </r>
        <r>
          <rPr>
            <sz val="9"/>
            <color indexed="81"/>
            <rFont val="Tahoma"/>
            <family val="2"/>
          </rPr>
          <t xml:space="preserve">
1-2 reported</t>
        </r>
      </text>
    </comment>
    <comment ref="J113" authorId="62" shapeId="0" xr:uid="{00000000-0006-0000-0000-000070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(Georges 1982)</t>
        </r>
      </text>
    </comment>
    <comment ref="I114" authorId="1" shapeId="0" xr:uid="{00000000-0006-0000-0000-000071000000}">
      <text>
        <r>
          <rPr>
            <sz val="10"/>
            <color rgb="FF000000"/>
            <rFont val="Arial"/>
            <family val="2"/>
          </rPr>
          <t>female average
	-Joshua Ennen</t>
        </r>
      </text>
    </comment>
    <comment ref="J114" authorId="63" shapeId="0" xr:uid="{00000000-0006-0000-0000-00007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(Georges 1982)</t>
        </r>
      </text>
    </comment>
    <comment ref="R114" authorId="1" shapeId="0" xr:uid="{00000000-0006-0000-0000-000073000000}">
      <text>
        <r>
          <rPr>
            <sz val="10"/>
            <color rgb="FF000000"/>
            <rFont val="Arial"/>
            <family val="2"/>
          </rPr>
          <t>estimated with mean clutch size * egg mass.
	-Joshua Ennen</t>
        </r>
      </text>
    </comment>
    <comment ref="J118" authorId="64" shapeId="0" xr:uid="{00000000-0006-0000-0000-000074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(Georges 1982)</t>
        </r>
      </text>
    </comment>
    <comment ref="P119" authorId="65" shapeId="0" xr:uid="{00000000-0006-0000-0000-00007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Iverson egg data using E. dentata regression (July 2020)</t>
        </r>
      </text>
    </comment>
    <comment ref="J120" authorId="66" shapeId="0" xr:uid="{00000000-0006-0000-0000-00007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(Georges 1982)</t>
        </r>
      </text>
    </comment>
    <comment ref="J124" authorId="10" shapeId="0" xr:uid="{00000000-0006-0000-0000-000077000000}">
      <text>
        <r>
          <rPr>
            <b/>
            <sz val="9"/>
            <color indexed="81"/>
            <rFont val="Arial"/>
            <family val="2"/>
          </rPr>
          <t>John Iverson:</t>
        </r>
        <r>
          <rPr>
            <sz val="9"/>
            <color indexed="81"/>
            <rFont val="Arial"/>
            <family val="2"/>
          </rPr>
          <t xml:space="preserve">
estimated from BM-CL data for E. m. kreffti in Georges 1982</t>
        </r>
      </text>
    </comment>
    <comment ref="I125" authorId="10" shapeId="0" xr:uid="{00000000-0006-0000-0000-000078000000}">
      <text>
        <r>
          <rPr>
            <b/>
            <sz val="9"/>
            <color indexed="81"/>
            <rFont val="Arial"/>
            <family val="2"/>
          </rPr>
          <t>John Iverson:</t>
        </r>
        <r>
          <rPr>
            <sz val="9"/>
            <color indexed="81"/>
            <rFont val="Arial"/>
            <family val="2"/>
          </rPr>
          <t xml:space="preserve">
"21-25"</t>
        </r>
      </text>
    </comment>
    <comment ref="J125" authorId="67" shapeId="0" xr:uid="{00000000-0006-0000-0000-00007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equation from Georges et al. 1982 for E. macquarii kreffti</t>
        </r>
      </text>
    </comment>
    <comment ref="L125" authorId="10" shapeId="0" xr:uid="{00000000-0006-0000-0000-00007A000000}">
      <text>
        <r>
          <rPr>
            <b/>
            <sz val="9"/>
            <color indexed="81"/>
            <rFont val="Arial"/>
            <family val="2"/>
          </rPr>
          <t>John Iverson:</t>
        </r>
        <r>
          <rPr>
            <sz val="9"/>
            <color indexed="81"/>
            <rFont val="Arial"/>
            <family val="2"/>
          </rPr>
          <t xml:space="preserve">
"3-5"</t>
        </r>
      </text>
    </comment>
    <comment ref="N125" authorId="10" shapeId="0" xr:uid="{00000000-0006-0000-0000-00007B000000}">
      <text>
        <r>
          <rPr>
            <b/>
            <sz val="9"/>
            <color indexed="81"/>
            <rFont val="Arial"/>
            <family val="2"/>
          </rPr>
          <t>John Iverson:</t>
        </r>
        <r>
          <rPr>
            <sz val="9"/>
            <color indexed="81"/>
            <rFont val="Arial"/>
            <family val="2"/>
          </rPr>
          <t xml:space="preserve">
"46-52"</t>
        </r>
      </text>
    </comment>
    <comment ref="O125" authorId="10" shapeId="0" xr:uid="{00000000-0006-0000-0000-00007C000000}">
      <text>
        <r>
          <rPr>
            <b/>
            <sz val="9"/>
            <color indexed="81"/>
            <rFont val="Arial"/>
            <family val="2"/>
          </rPr>
          <t>John Iverson:</t>
        </r>
        <r>
          <rPr>
            <sz val="9"/>
            <color indexed="81"/>
            <rFont val="Arial"/>
            <family val="2"/>
          </rPr>
          <t xml:space="preserve">
"20-25"</t>
        </r>
      </text>
    </comment>
    <comment ref="P125" authorId="10" shapeId="0" xr:uid="{00000000-0006-0000-0000-00007D000000}">
      <text>
        <r>
          <rPr>
            <b/>
            <sz val="9"/>
            <color indexed="81"/>
            <rFont val="Arial"/>
            <family val="2"/>
          </rPr>
          <t>John Iverson:</t>
        </r>
        <r>
          <rPr>
            <sz val="9"/>
            <color indexed="81"/>
            <rFont val="Arial"/>
            <family val="2"/>
          </rPr>
          <t xml:space="preserve">
"12-15"</t>
        </r>
      </text>
    </comment>
    <comment ref="L127" authorId="7" shapeId="0" xr:uid="{00000000-0006-0000-0000-00007E000000}">
      <text>
        <r>
          <rPr>
            <b/>
            <sz val="9"/>
            <color indexed="81"/>
            <rFont val="Tahoma"/>
            <family val="2"/>
          </rPr>
          <t>JEnnen:</t>
        </r>
        <r>
          <rPr>
            <sz val="9"/>
            <color indexed="81"/>
            <rFont val="Tahoma"/>
            <family val="2"/>
          </rPr>
          <t xml:space="preserve">
8-11</t>
        </r>
      </text>
    </comment>
    <comment ref="J134" authorId="10" shapeId="0" xr:uid="{00000000-0006-0000-0000-00007F000000}">
      <text>
        <r>
          <rPr>
            <b/>
            <sz val="9"/>
            <color indexed="81"/>
            <rFont val="Arial"/>
            <family val="2"/>
          </rPr>
          <t>John Iverson:</t>
        </r>
        <r>
          <rPr>
            <sz val="9"/>
            <color indexed="81"/>
            <rFont val="Arial"/>
            <family val="2"/>
          </rPr>
          <t xml:space="preserve">
estimated from BM-CL data in Georges 1982</t>
        </r>
      </text>
    </comment>
    <comment ref="T134" authorId="7" shapeId="0" xr:uid="{00000000-0006-0000-0000-000080000000}">
      <text>
        <r>
          <rPr>
            <b/>
            <sz val="9"/>
            <color indexed="81"/>
            <rFont val="Tahoma"/>
            <family val="2"/>
          </rPr>
          <t>JEnnen:</t>
        </r>
        <r>
          <rPr>
            <sz val="9"/>
            <color indexed="81"/>
            <rFont val="Tahoma"/>
            <family val="2"/>
          </rPr>
          <t xml:space="preserve">
2-4 reported</t>
        </r>
      </text>
    </comment>
    <comment ref="I135" authorId="1" shapeId="0" xr:uid="{00000000-0006-0000-0000-000081000000}">
      <text>
        <r>
          <rPr>
            <sz val="10"/>
            <color rgb="FF000000"/>
            <rFont val="Arial"/>
            <family val="2"/>
          </rPr>
          <t>Females only; males 17.07
	-Joshua Ennen</t>
        </r>
      </text>
    </comment>
    <comment ref="L135" authorId="1" shapeId="0" xr:uid="{00000000-0006-0000-0000-000082000000}">
      <text>
        <r>
          <rPr>
            <sz val="10"/>
            <color rgb="FF000000"/>
            <rFont val="Arial"/>
            <family val="2"/>
          </rPr>
          <t>A predicted value
	-Joshua Ennen</t>
        </r>
      </text>
    </comment>
    <comment ref="R136" authorId="1" shapeId="0" xr:uid="{00000000-0006-0000-0000-000083000000}">
      <text>
        <r>
          <rPr>
            <sz val="10"/>
            <color rgb="FF000000"/>
            <rFont val="Arial"/>
            <family val="2"/>
          </rPr>
          <t>Estimated from clutch size and egg mass
	-Joshua Ennen</t>
        </r>
      </text>
    </comment>
    <comment ref="P137" authorId="11" shapeId="0" xr:uid="{00000000-0006-0000-0000-000084000000}">
      <text>
        <r>
          <rPr>
            <b/>
            <sz val="9"/>
            <color indexed="81"/>
            <rFont val="Tahoma"/>
            <family val="2"/>
          </rPr>
          <t>TNACI:</t>
        </r>
        <r>
          <rPr>
            <sz val="9"/>
            <color indexed="81"/>
            <rFont val="Tahoma"/>
            <family val="2"/>
          </rPr>
          <t xml:space="preserve">
estimated from our egg data set (July 2020)</t>
        </r>
      </text>
    </comment>
    <comment ref="J138" authorId="11" shapeId="0" xr:uid="{00000000-0006-0000-0000-000085000000}">
      <text>
        <r>
          <rPr>
            <b/>
            <sz val="9"/>
            <color indexed="81"/>
            <rFont val="Tahoma"/>
            <family val="2"/>
          </rPr>
          <t>TNACI:</t>
        </r>
        <r>
          <rPr>
            <sz val="9"/>
            <color indexed="81"/>
            <rFont val="Tahoma"/>
            <family val="2"/>
          </rPr>
          <t xml:space="preserve">
Estimated from 0.100*CL^3 Chessman (1978)
</t>
        </r>
      </text>
    </comment>
    <comment ref="P138" authorId="11" shapeId="0" xr:uid="{00000000-0006-0000-0000-000086000000}">
      <text>
        <r>
          <rPr>
            <b/>
            <sz val="9"/>
            <color indexed="81"/>
            <rFont val="Tahoma"/>
            <family val="2"/>
          </rPr>
          <t>TNACI:</t>
        </r>
        <r>
          <rPr>
            <sz val="9"/>
            <color indexed="81"/>
            <rFont val="Tahoma"/>
            <family val="2"/>
          </rPr>
          <t xml:space="preserve">
estimated from our egg data set (July 2020)</t>
        </r>
      </text>
    </comment>
    <comment ref="J139" authorId="11" shapeId="0" xr:uid="{00000000-0006-0000-0000-000087000000}">
      <text>
        <r>
          <rPr>
            <b/>
            <sz val="9"/>
            <color indexed="81"/>
            <rFont val="Tahoma"/>
            <family val="2"/>
          </rPr>
          <t>TNACI:</t>
        </r>
        <r>
          <rPr>
            <sz val="9"/>
            <color indexed="81"/>
            <rFont val="Tahoma"/>
            <family val="2"/>
          </rPr>
          <t xml:space="preserve">
Estimated from 0.100*CL^3 Chessman (1978)
</t>
        </r>
      </text>
    </comment>
    <comment ref="K139" authorId="7" shapeId="0" xr:uid="{00000000-0006-0000-0000-000088000000}">
      <text>
        <r>
          <rPr>
            <b/>
            <sz val="9"/>
            <color indexed="81"/>
            <rFont val="Tahoma"/>
            <family val="2"/>
          </rPr>
          <t>JEnnen:</t>
        </r>
        <r>
          <rPr>
            <sz val="9"/>
            <color indexed="81"/>
            <rFont val="Tahoma"/>
            <family val="2"/>
          </rPr>
          <t xml:space="preserve">
6-8 reported</t>
        </r>
      </text>
    </comment>
    <comment ref="N139" authorId="68" shapeId="0" xr:uid="{00000000-0006-0000-0000-00008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"32.5 to 41.35"</t>
        </r>
      </text>
    </comment>
    <comment ref="O139" authorId="69" shapeId="0" xr:uid="{00000000-0006-0000-0000-00008A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or egg dataset for E. subglobosa</t>
        </r>
      </text>
    </comment>
    <comment ref="P139" authorId="70" shapeId="0" xr:uid="{00000000-0006-0000-0000-00008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for E. macquarii (Jan 2021)</t>
        </r>
      </text>
    </comment>
    <comment ref="J140" authorId="10" shapeId="0" xr:uid="{00000000-0006-0000-0000-00008C000000}">
      <text>
        <r>
          <rPr>
            <b/>
            <sz val="9"/>
            <color indexed="81"/>
            <rFont val="Arial"/>
            <family val="2"/>
          </rPr>
          <t>John Iverson:</t>
        </r>
        <r>
          <rPr>
            <sz val="9"/>
            <color indexed="81"/>
            <rFont val="Arial"/>
            <family val="2"/>
          </rPr>
          <t xml:space="preserve">
estimated from our BM-CL data from Chessman 1978</t>
        </r>
      </text>
    </comment>
    <comment ref="L140" authorId="10" shapeId="0" xr:uid="{00000000-0006-0000-0000-00008D000000}">
      <text>
        <r>
          <rPr>
            <b/>
            <sz val="9"/>
            <color indexed="81"/>
            <rFont val="Arial"/>
            <family val="2"/>
          </rPr>
          <t>John Iverson:</t>
        </r>
        <r>
          <rPr>
            <sz val="9"/>
            <color indexed="81"/>
            <rFont val="Arial"/>
            <family val="2"/>
          </rPr>
          <t xml:space="preserve">
reference says 43, but must be two clutches</t>
        </r>
      </text>
    </comment>
    <comment ref="J141" authorId="11" shapeId="0" xr:uid="{00000000-0006-0000-0000-00008E000000}">
      <text>
        <r>
          <rPr>
            <b/>
            <sz val="9"/>
            <color indexed="81"/>
            <rFont val="Tahoma"/>
            <family val="2"/>
          </rPr>
          <t>TNACI:</t>
        </r>
        <r>
          <rPr>
            <sz val="9"/>
            <color indexed="81"/>
            <rFont val="Tahoma"/>
            <family val="2"/>
          </rPr>
          <t xml:space="preserve">
Estimated from 0.100*CL^3 Chessman (1978)
</t>
        </r>
      </text>
    </comment>
    <comment ref="P143" authorId="10" shapeId="0" xr:uid="{00000000-0006-0000-0000-00008F000000}">
      <text>
        <r>
          <rPr>
            <b/>
            <sz val="9"/>
            <color indexed="81"/>
            <rFont val="Arial"/>
            <family val="2"/>
          </rPr>
          <t>John Iverson:</t>
        </r>
        <r>
          <rPr>
            <sz val="9"/>
            <color indexed="81"/>
            <rFont val="Arial"/>
            <family val="2"/>
          </rPr>
          <t xml:space="preserve">
estimated from our egg data set (July 2020)</t>
        </r>
      </text>
    </comment>
    <comment ref="J144" authorId="10" shapeId="0" xr:uid="{00000000-0006-0000-0000-000090000000}">
      <text>
        <r>
          <rPr>
            <b/>
            <sz val="9"/>
            <color indexed="81"/>
            <rFont val="Arial"/>
            <family val="2"/>
          </rPr>
          <t>John Iverson:</t>
        </r>
        <r>
          <rPr>
            <sz val="9"/>
            <color indexed="81"/>
            <rFont val="Arial"/>
            <family val="2"/>
          </rPr>
          <t xml:space="preserve">
estimated from BM-CL data in Chessman 1978</t>
        </r>
      </text>
    </comment>
    <comment ref="T144" authorId="7" shapeId="0" xr:uid="{00000000-0006-0000-0000-000091000000}">
      <text>
        <r>
          <rPr>
            <b/>
            <sz val="9"/>
            <color indexed="81"/>
            <rFont val="Tahoma"/>
            <family val="2"/>
          </rPr>
          <t>JEnnen:</t>
        </r>
        <r>
          <rPr>
            <sz val="9"/>
            <color indexed="81"/>
            <rFont val="Tahoma"/>
            <family val="2"/>
          </rPr>
          <t xml:space="preserve">
2-3 reported</t>
        </r>
      </text>
    </comment>
    <comment ref="J145" authorId="1" shapeId="0" xr:uid="{00000000-0006-0000-0000-000092000000}">
      <text>
        <r>
          <rPr>
            <sz val="10"/>
            <color rgb="FF000000"/>
            <rFont val="Arial"/>
            <family val="2"/>
          </rPr>
          <t>Estimation from source
	-Joshua Ennen</t>
        </r>
      </text>
    </comment>
    <comment ref="K151" authorId="7" shapeId="0" xr:uid="{00000000-0006-0000-0000-000093000000}">
      <text>
        <r>
          <rPr>
            <b/>
            <sz val="9"/>
            <color indexed="81"/>
            <rFont val="Tahoma"/>
            <family val="2"/>
          </rPr>
          <t>JEnnen:</t>
        </r>
        <r>
          <rPr>
            <sz val="9"/>
            <color indexed="81"/>
            <rFont val="Tahoma"/>
            <family val="2"/>
          </rPr>
          <t xml:space="preserve">
9-11 reported</t>
        </r>
      </text>
    </comment>
    <comment ref="O154" authorId="11" shapeId="0" xr:uid="{00000000-0006-0000-0000-000094000000}">
      <text>
        <r>
          <rPr>
            <b/>
            <sz val="9"/>
            <color indexed="81"/>
            <rFont val="Tahoma"/>
            <family val="2"/>
          </rPr>
          <t>TNACI:</t>
        </r>
        <r>
          <rPr>
            <sz val="9"/>
            <color indexed="81"/>
            <rFont val="Tahoma"/>
            <family val="2"/>
          </rPr>
          <t xml:space="preserve">
estimated from y = 0.4956x - 2.9845 Iverson unpublish data (July 2020)</t>
        </r>
      </text>
    </comment>
    <comment ref="K155" authorId="71" shapeId="0" xr:uid="{00000000-0006-0000-0000-00009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8-10 reported</t>
        </r>
      </text>
    </comment>
    <comment ref="J157" authorId="72" shapeId="0" xr:uid="{00000000-0006-0000-0000-00009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from (Chessman 1978) (Aug 2020)</t>
        </r>
      </text>
    </comment>
    <comment ref="L157" authorId="7" shapeId="0" xr:uid="{00000000-0006-0000-0000-000097000000}">
      <text>
        <r>
          <rPr>
            <b/>
            <sz val="9"/>
            <color indexed="81"/>
            <rFont val="Tahoma"/>
            <family val="2"/>
          </rPr>
          <t>JEnnen:</t>
        </r>
        <r>
          <rPr>
            <sz val="9"/>
            <color indexed="81"/>
            <rFont val="Tahoma"/>
            <family val="2"/>
          </rPr>
          <t xml:space="preserve">
7-13</t>
        </r>
      </text>
    </comment>
    <comment ref="P157" authorId="73" shapeId="0" xr:uid="{00000000-0006-0000-0000-00009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5-6 by taking median</t>
        </r>
      </text>
    </comment>
    <comment ref="I160" authorId="10" shapeId="0" xr:uid="{00000000-0006-0000-0000-000099000000}">
      <text>
        <r>
          <rPr>
            <b/>
            <sz val="9"/>
            <color indexed="81"/>
            <rFont val="Arial"/>
            <family val="2"/>
          </rPr>
          <t>John Iverson:</t>
        </r>
        <r>
          <rPr>
            <sz val="9"/>
            <color indexed="81"/>
            <rFont val="Arial"/>
            <family val="2"/>
          </rPr>
          <t xml:space="preserve">
estimated from clutch size CL equation in text</t>
        </r>
      </text>
    </comment>
    <comment ref="J160" authorId="10" shapeId="0" xr:uid="{00000000-0006-0000-0000-00009A000000}">
      <text>
        <r>
          <rPr>
            <b/>
            <sz val="9"/>
            <color indexed="81"/>
            <rFont val="Arial"/>
            <family val="2"/>
          </rPr>
          <t>John Iverson:</t>
        </r>
        <r>
          <rPr>
            <sz val="9"/>
            <color indexed="81"/>
            <rFont val="Arial"/>
            <family val="2"/>
          </rPr>
          <t xml:space="preserve">
estimated from BM-CL data for E. m. kreffti in Georges 1982</t>
        </r>
      </text>
    </comment>
    <comment ref="T160" authorId="10" shapeId="0" xr:uid="{00000000-0006-0000-0000-00009B000000}">
      <text>
        <r>
          <rPr>
            <b/>
            <sz val="9"/>
            <color indexed="81"/>
            <rFont val="Arial"/>
            <family val="2"/>
          </rPr>
          <t>John Iverson:</t>
        </r>
        <r>
          <rPr>
            <sz val="9"/>
            <color indexed="81"/>
            <rFont val="Arial"/>
            <family val="2"/>
          </rPr>
          <t xml:space="preserve">
1-4</t>
        </r>
      </text>
    </comment>
    <comment ref="D162" authorId="10" shapeId="0" xr:uid="{00000000-0006-0000-0000-00009C000000}">
      <text>
        <r>
          <rPr>
            <b/>
            <sz val="9"/>
            <color indexed="81"/>
            <rFont val="Arial"/>
            <family val="2"/>
          </rPr>
          <t>John Iverson:</t>
        </r>
        <r>
          <rPr>
            <sz val="9"/>
            <color indexed="81"/>
            <rFont val="Arial"/>
            <family val="2"/>
          </rPr>
          <t xml:space="preserve">
albertsii in original paper</t>
        </r>
      </text>
    </comment>
    <comment ref="J163" authorId="10" shapeId="0" xr:uid="{00000000-0006-0000-0000-00009D000000}">
      <text>
        <r>
          <rPr>
            <b/>
            <sz val="9"/>
            <color indexed="81"/>
            <rFont val="Arial"/>
            <family val="2"/>
          </rPr>
          <t>John Iverson:</t>
        </r>
        <r>
          <rPr>
            <sz val="9"/>
            <color indexed="81"/>
            <rFont val="Arial"/>
            <family val="2"/>
          </rPr>
          <t xml:space="preserve">
estimated from BM-CL data in Chessman 1978 for Emydura macquarii</t>
        </r>
      </text>
    </comment>
    <comment ref="P163" authorId="10" shapeId="0" xr:uid="{00000000-0006-0000-0000-00009E000000}">
      <text>
        <r>
          <rPr>
            <b/>
            <sz val="9"/>
            <color indexed="81"/>
            <rFont val="Arial"/>
            <family val="2"/>
          </rPr>
          <t>John Iverson:</t>
        </r>
        <r>
          <rPr>
            <sz val="9"/>
            <color indexed="81"/>
            <rFont val="Arial"/>
            <family val="2"/>
          </rPr>
          <t xml:space="preserve">
estimated from our egg data set (July 2020)</t>
        </r>
      </text>
    </comment>
    <comment ref="L165" authorId="7" shapeId="0" xr:uid="{00000000-0006-0000-0000-00009F000000}">
      <text>
        <r>
          <rPr>
            <b/>
            <sz val="9"/>
            <color indexed="81"/>
            <rFont val="Tahoma"/>
            <family val="2"/>
          </rPr>
          <t>JEnnen:</t>
        </r>
        <r>
          <rPr>
            <sz val="9"/>
            <color indexed="81"/>
            <rFont val="Tahoma"/>
            <family val="2"/>
          </rPr>
          <t xml:space="preserve">
8-11</t>
        </r>
      </text>
    </comment>
    <comment ref="N165" authorId="74" shapeId="0" xr:uid="{00000000-0006-0000-0000-0000A0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33-40</t>
        </r>
      </text>
    </comment>
    <comment ref="O165" authorId="75" shapeId="0" xr:uid="{00000000-0006-0000-0000-0000A1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'17-18</t>
        </r>
      </text>
    </comment>
    <comment ref="P165" authorId="76" shapeId="0" xr:uid="{00000000-0006-0000-0000-0000A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t>
        </r>
      </text>
    </comment>
    <comment ref="T165" authorId="7" shapeId="0" xr:uid="{00000000-0006-0000-0000-0000A3000000}">
      <text>
        <r>
          <rPr>
            <b/>
            <sz val="9"/>
            <color indexed="81"/>
            <rFont val="Tahoma"/>
            <family val="2"/>
          </rPr>
          <t>JEnnen:</t>
        </r>
        <r>
          <rPr>
            <sz val="9"/>
            <color indexed="81"/>
            <rFont val="Tahoma"/>
            <family val="2"/>
          </rPr>
          <t xml:space="preserve">
2-3 reported</t>
        </r>
      </text>
    </comment>
    <comment ref="T166" authorId="7" shapeId="0" xr:uid="{00000000-0006-0000-0000-0000A4000000}">
      <text>
        <r>
          <rPr>
            <b/>
            <sz val="9"/>
            <color indexed="81"/>
            <rFont val="Tahoma"/>
            <family val="2"/>
          </rPr>
          <t>JEnnen:</t>
        </r>
        <r>
          <rPr>
            <sz val="9"/>
            <color indexed="81"/>
            <rFont val="Tahoma"/>
            <family val="2"/>
          </rPr>
          <t xml:space="preserve">
3-5, but up to 12</t>
        </r>
      </text>
    </comment>
    <comment ref="I167" authorId="10" shapeId="0" xr:uid="{00000000-0006-0000-0000-0000A5000000}">
      <text>
        <r>
          <rPr>
            <b/>
            <sz val="9"/>
            <color indexed="81"/>
            <rFont val="Arial"/>
            <family val="2"/>
          </rPr>
          <t>John Iverson:</t>
        </r>
        <r>
          <rPr>
            <sz val="9"/>
            <color indexed="81"/>
            <rFont val="Arial"/>
            <family val="2"/>
          </rPr>
          <t xml:space="preserve">
estimated from BM-CL data in Chessman 1978 for Emydura macquarii</t>
        </r>
      </text>
    </comment>
    <comment ref="J169" authorId="77" shapeId="0" xr:uid="{00000000-0006-0000-0000-0000A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equation from Georges et al. 1982 for E. macquarii kreffti</t>
        </r>
      </text>
    </comment>
    <comment ref="I170" authorId="78" shapeId="0" xr:uid="{00000000-0006-0000-0000-0000A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equation from Georges et al. 1982 for E. macquarii kreffti</t>
        </r>
      </text>
    </comment>
    <comment ref="K170" authorId="7" shapeId="0" xr:uid="{00000000-0006-0000-0000-0000A8000000}">
      <text>
        <r>
          <rPr>
            <b/>
            <sz val="9"/>
            <color indexed="81"/>
            <rFont val="Tahoma"/>
            <family val="2"/>
          </rPr>
          <t>JEnnen:</t>
        </r>
        <r>
          <rPr>
            <sz val="9"/>
            <color indexed="81"/>
            <rFont val="Tahoma"/>
            <family val="2"/>
          </rPr>
          <t xml:space="preserve">
6-7 reported</t>
        </r>
      </text>
    </comment>
    <comment ref="K171" authorId="1" shapeId="0" xr:uid="{00000000-0006-0000-0000-0000A9000000}">
      <text>
        <r>
          <rPr>
            <sz val="10"/>
            <color rgb="FF000000"/>
            <rFont val="Arial"/>
            <family val="2"/>
          </rPr>
          <t>female sexual maturity
	-Joshua Ennen</t>
        </r>
      </text>
    </comment>
    <comment ref="J172" authorId="79" shapeId="0" xr:uid="{00000000-0006-0000-0000-0000AA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based on BM-CL data in Souza 1995</t>
        </r>
      </text>
    </comment>
    <comment ref="P172" authorId="80" shapeId="0" xr:uid="{00000000-0006-0000-0000-0000A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M. gibba (Aug 2020)</t>
        </r>
      </text>
    </comment>
    <comment ref="K173" authorId="81" shapeId="0" xr:uid="{00000000-0006-0000-0000-0000AC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9-10 years reported</t>
        </r>
      </text>
    </comment>
    <comment ref="L174" authorId="7" shapeId="0" xr:uid="{00000000-0006-0000-0000-0000AD000000}">
      <text>
        <r>
          <rPr>
            <b/>
            <sz val="9"/>
            <color indexed="81"/>
            <rFont val="Tahoma"/>
            <family val="2"/>
          </rPr>
          <t>JEnnen:</t>
        </r>
        <r>
          <rPr>
            <sz val="9"/>
            <color indexed="81"/>
            <rFont val="Tahoma"/>
            <family val="2"/>
          </rPr>
          <t xml:space="preserve">
2-3</t>
        </r>
      </text>
    </comment>
    <comment ref="P174" authorId="82" shapeId="0" xr:uid="{00000000-0006-0000-0000-0000AE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M. gibba (Aug 2020)</t>
        </r>
      </text>
    </comment>
    <comment ref="P175" authorId="83" shapeId="0" xr:uid="{00000000-0006-0000-0000-0000AF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M. gibba (Aug 2020)</t>
        </r>
      </text>
    </comment>
    <comment ref="O177" authorId="84" shapeId="0" xr:uid="{00000000-0006-0000-0000-0000B0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EL/EW ratio in Bager and Bach 2003</t>
        </r>
      </text>
    </comment>
    <comment ref="F178" authorId="85" shapeId="0" xr:uid="{00000000-0006-0000-0000-0000B1000000}">
      <text>
        <r>
          <rPr>
            <sz val="10"/>
            <color rgb="FF000000"/>
            <rFont val="Arial"/>
            <family val="2"/>
          </rPr>
          <t xml:space="preserve">
Comment:
    (Sao Paulo Zoo)</t>
        </r>
      </text>
    </comment>
    <comment ref="F179" authorId="86" shapeId="0" xr:uid="{00000000-0006-0000-0000-0000B2000000}">
      <text>
        <r>
          <rPr>
            <sz val="10"/>
            <color rgb="FF000000"/>
            <rFont val="Arial"/>
            <family val="2"/>
          </rPr>
          <t xml:space="preserve">
Comment:
    Uruguay</t>
        </r>
      </text>
    </comment>
    <comment ref="N180" authorId="87" shapeId="0" xr:uid="{00000000-0006-0000-0000-0000B3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EL/EW ratio in Bager and Bach 2003</t>
        </r>
      </text>
    </comment>
    <comment ref="R180" authorId="1" shapeId="0" xr:uid="{00000000-0006-0000-0000-0000B4000000}">
      <text>
        <r>
          <rPr>
            <sz val="10"/>
            <color rgb="FF000000"/>
            <rFont val="Arial"/>
            <family val="2"/>
          </rPr>
          <t>estimated from clutch size and mean egg mass
	-Joshua Ennen</t>
        </r>
      </text>
    </comment>
    <comment ref="K182" authorId="7" shapeId="0" xr:uid="{00000000-0006-0000-0000-0000B5000000}">
      <text>
        <r>
          <rPr>
            <b/>
            <sz val="9"/>
            <color indexed="81"/>
            <rFont val="Tahoma"/>
            <family val="2"/>
          </rPr>
          <t>JEnnen:</t>
        </r>
        <r>
          <rPr>
            <sz val="9"/>
            <color indexed="81"/>
            <rFont val="Tahoma"/>
            <family val="2"/>
          </rPr>
          <t xml:space="preserve">
5-7 reported</t>
        </r>
      </text>
    </comment>
    <comment ref="P182" authorId="88" shapeId="0" xr:uid="{00000000-0006-0000-0000-0000B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M. gibba (Aug 2020)</t>
        </r>
      </text>
    </comment>
    <comment ref="J184" authorId="89" shapeId="0" xr:uid="{00000000-0006-0000-0000-0000B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184" authorId="90" shapeId="0" xr:uid="{00000000-0006-0000-0000-0000B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Phrynops geoffroanus (July 2020)</t>
        </r>
      </text>
    </comment>
    <comment ref="L185" authorId="7" shapeId="0" xr:uid="{00000000-0006-0000-0000-0000B9000000}">
      <text>
        <r>
          <rPr>
            <b/>
            <sz val="9"/>
            <color indexed="81"/>
            <rFont val="Tahoma"/>
            <family val="2"/>
          </rPr>
          <t>JEnnen:</t>
        </r>
        <r>
          <rPr>
            <sz val="9"/>
            <color indexed="81"/>
            <rFont val="Tahoma"/>
            <family val="2"/>
          </rPr>
          <t xml:space="preserve">
5-12</t>
        </r>
      </text>
    </comment>
    <comment ref="P185" authorId="91" shapeId="0" xr:uid="{00000000-0006-0000-0000-0000BA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Phrynops geoffroanus (July 2020)</t>
        </r>
      </text>
    </comment>
    <comment ref="J186" authorId="92" shapeId="0" xr:uid="{00000000-0006-0000-0000-0000B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186" authorId="10" shapeId="0" xr:uid="{00000000-0006-0000-0000-0000BC000000}">
      <text>
        <r>
          <rPr>
            <b/>
            <sz val="9"/>
            <color indexed="81"/>
            <rFont val="Arial"/>
            <family val="2"/>
          </rPr>
          <t>John Iverson:</t>
        </r>
        <r>
          <rPr>
            <sz val="9"/>
            <color indexed="81"/>
            <rFont val="Arial"/>
            <family val="2"/>
          </rPr>
          <t xml:space="preserve">
estimated from the gibba regression in egg data (July 2020)</t>
        </r>
      </text>
    </comment>
    <comment ref="P190" authorId="11" shapeId="0" xr:uid="{00000000-0006-0000-0000-0000BD000000}">
      <text>
        <r>
          <rPr>
            <b/>
            <sz val="9"/>
            <color indexed="81"/>
            <rFont val="Tahoma"/>
            <family val="2"/>
          </rPr>
          <t>TNACI:</t>
        </r>
        <r>
          <rPr>
            <sz val="9"/>
            <color indexed="81"/>
            <rFont val="Tahoma"/>
            <family val="2"/>
          </rPr>
          <t xml:space="preserve">
estimated from our egg data (July 2020)</t>
        </r>
      </text>
    </comment>
    <comment ref="J191" authorId="93" shapeId="0" xr:uid="{00000000-0006-0000-0000-0000BE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G192" authorId="1" shapeId="0" xr:uid="{00000000-0006-0000-0000-0000BF000000}">
      <text>
        <r>
          <rPr>
            <sz val="10"/>
            <color rgb="FF000000"/>
            <rFont val="Arial"/>
            <family val="2"/>
          </rPr>
          <t>Several sites within this range of latitude 3.9-3.4
	-Joshua Ennen</t>
        </r>
      </text>
    </comment>
    <comment ref="J192" authorId="94" shapeId="0" xr:uid="{00000000-0006-0000-0000-0000C0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BM_CL regression dataset for R. rufipes</t>
        </r>
      </text>
    </comment>
    <comment ref="D196" authorId="95" shapeId="0" xr:uid="{00000000-0006-0000-0000-0000C1000000}">
      <text>
        <r>
          <rPr>
            <sz val="10"/>
            <color rgb="FF000000"/>
            <rFont val="Arial"/>
            <family val="2"/>
          </rPr>
          <t xml:space="preserve">
Comment:
    Originally M. heliostemma</t>
        </r>
      </text>
    </comment>
    <comment ref="J197" authorId="96" shapeId="0" xr:uid="{00000000-0006-0000-0000-0000C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K197" authorId="10" shapeId="0" xr:uid="{00000000-0006-0000-0000-0000C3000000}">
      <text>
        <r>
          <rPr>
            <b/>
            <sz val="9"/>
            <color indexed="81"/>
            <rFont val="Arial"/>
            <family val="2"/>
          </rPr>
          <t>John Iverson:</t>
        </r>
        <r>
          <rPr>
            <sz val="9"/>
            <color indexed="81"/>
            <rFont val="Arial"/>
            <family val="2"/>
          </rPr>
          <t xml:space="preserve">
"6-8"</t>
        </r>
      </text>
    </comment>
    <comment ref="D198" authorId="97" shapeId="0" xr:uid="{00000000-0006-0000-0000-0000C4000000}">
      <text>
        <r>
          <rPr>
            <sz val="10"/>
            <color rgb="FF000000"/>
            <rFont val="Arial"/>
            <family val="2"/>
          </rPr>
          <t xml:space="preserve">
Comment:
    Originally M. heliostemma</t>
        </r>
      </text>
    </comment>
    <comment ref="P198" authorId="98" shapeId="0" xr:uid="{00000000-0006-0000-0000-0000C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Mesoclemmys nasuta (July 2020)</t>
        </r>
      </text>
    </comment>
    <comment ref="J199" authorId="99" shapeId="0" xr:uid="{00000000-0006-0000-0000-0000C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199" authorId="100" shapeId="0" xr:uid="{00000000-0006-0000-0000-0000C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using Mesoclemmys nasuta (July 2020)</t>
        </r>
      </text>
    </comment>
    <comment ref="L200" authorId="7" shapeId="0" xr:uid="{00000000-0006-0000-0000-0000C8000000}">
      <text>
        <r>
          <rPr>
            <b/>
            <sz val="9"/>
            <color indexed="81"/>
            <rFont val="Tahoma"/>
            <family val="2"/>
          </rPr>
          <t>JEnnen:</t>
        </r>
        <r>
          <rPr>
            <sz val="9"/>
            <color indexed="81"/>
            <rFont val="Tahoma"/>
            <family val="2"/>
          </rPr>
          <t xml:space="preserve">
4-6</t>
        </r>
      </text>
    </comment>
    <comment ref="N200" authorId="101" shapeId="0" xr:uid="{00000000-0006-0000-0000-0000C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35-40 round</t>
        </r>
      </text>
    </comment>
    <comment ref="O200" authorId="102" shapeId="0" xr:uid="{00000000-0006-0000-0000-0000CA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35-40 round</t>
        </r>
      </text>
    </comment>
    <comment ref="P201" authorId="103" shapeId="0" xr:uid="{00000000-0006-0000-0000-0000C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M. nasuta from Ewert pers. comm. (Columbus Zoo)</t>
        </r>
      </text>
    </comment>
    <comment ref="F202" authorId="104" shapeId="0" xr:uid="{00000000-0006-0000-0000-0000CC000000}">
      <text>
        <r>
          <rPr>
            <sz val="10"/>
            <color rgb="FF000000"/>
            <rFont val="Arial"/>
            <family val="2"/>
          </rPr>
          <t xml:space="preserve">
Comment:
    Sao Paulo</t>
        </r>
      </text>
    </comment>
    <comment ref="J203" authorId="105" shapeId="0" xr:uid="{00000000-0006-0000-0000-0000CD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203" authorId="10" shapeId="0" xr:uid="{00000000-0006-0000-0000-0000CE000000}">
      <text>
        <r>
          <rPr>
            <b/>
            <sz val="9"/>
            <color indexed="81"/>
            <rFont val="Arial"/>
            <family val="2"/>
          </rPr>
          <t>John Iverson:</t>
        </r>
        <r>
          <rPr>
            <sz val="9"/>
            <color indexed="81"/>
            <rFont val="Arial"/>
            <family val="2"/>
          </rPr>
          <t xml:space="preserve">
"11.4-13.3"</t>
        </r>
      </text>
    </comment>
    <comment ref="J204" authorId="106" shapeId="0" xr:uid="{00000000-0006-0000-0000-0000CF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204" authorId="107" shapeId="0" xr:uid="{00000000-0006-0000-0000-0000D0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set using M. gibba (July 2020)</t>
        </r>
      </text>
    </comment>
    <comment ref="J205" authorId="108" shapeId="0" xr:uid="{00000000-0006-0000-0000-0000D1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205" authorId="109" shapeId="0" xr:uid="{00000000-0006-0000-0000-0000D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set using M. gibba (July 2020)</t>
        </r>
      </text>
    </comment>
    <comment ref="P206" authorId="110" shapeId="0" xr:uid="{00000000-0006-0000-0000-0000D3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set using M. gibba (July 2020)</t>
        </r>
      </text>
    </comment>
    <comment ref="J210" authorId="111" shapeId="0" xr:uid="{00000000-0006-0000-0000-0000D4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L210" authorId="11" shapeId="0" xr:uid="{00000000-0006-0000-0000-0000D5000000}">
      <text>
        <r>
          <rPr>
            <b/>
            <sz val="9"/>
            <color indexed="81"/>
            <rFont val="Tahoma"/>
            <family val="2"/>
          </rPr>
          <t>TNACI:</t>
        </r>
        <r>
          <rPr>
            <sz val="9"/>
            <color indexed="81"/>
            <rFont val="Tahoma"/>
            <family val="2"/>
          </rPr>
          <t xml:space="preserve">
Not provided on the repro card</t>
        </r>
      </text>
    </comment>
    <comment ref="P210" authorId="112" shapeId="0" xr:uid="{00000000-0006-0000-0000-0000D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regressions using Chelodina longicollis (Aug 2020)</t>
        </r>
      </text>
    </comment>
    <comment ref="I211" authorId="113" shapeId="0" xr:uid="{00000000-0006-0000-0000-0000D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25-28</t>
        </r>
      </text>
    </comment>
    <comment ref="J211" authorId="114" shapeId="0" xr:uid="{00000000-0006-0000-0000-0000D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R. rufipes from Lamar and Medem (1982) (Jan 2021)</t>
        </r>
      </text>
    </comment>
    <comment ref="L211" authorId="7" shapeId="0" xr:uid="{00000000-0006-0000-0000-0000D9000000}">
      <text>
        <r>
          <rPr>
            <b/>
            <sz val="9"/>
            <color indexed="81"/>
            <rFont val="Tahoma"/>
            <family val="2"/>
          </rPr>
          <t>JEnnen:</t>
        </r>
        <r>
          <rPr>
            <sz val="9"/>
            <color indexed="81"/>
            <rFont val="Tahoma"/>
            <family val="2"/>
          </rPr>
          <t xml:space="preserve">
7-10</t>
        </r>
      </text>
    </comment>
    <comment ref="P211" authorId="115" shapeId="0" xr:uid="{00000000-0006-0000-0000-0000DA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regressions using Chelodina longicollis (Aug 2020)</t>
        </r>
      </text>
    </comment>
    <comment ref="G215" authorId="116" shapeId="0" xr:uid="{00000000-0006-0000-0000-0000DB000000}">
      <text>
        <r>
          <rPr>
            <sz val="10"/>
            <color rgb="FF000000"/>
            <rFont val="Arial"/>
            <family val="2"/>
          </rPr>
          <t xml:space="preserve">
Comment:
    Small distribution for this species, so we estimated latitude.</t>
        </r>
      </text>
    </comment>
    <comment ref="J215" authorId="117" shapeId="0" xr:uid="{00000000-0006-0000-0000-0000DC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equation from Georges et al. 1982 for E. macquarii kreffti</t>
        </r>
      </text>
    </comment>
    <comment ref="L215" authorId="7" shapeId="0" xr:uid="{00000000-0006-0000-0000-0000DD000000}">
      <text>
        <r>
          <rPr>
            <b/>
            <sz val="9"/>
            <color indexed="81"/>
            <rFont val="Tahoma"/>
            <family val="2"/>
          </rPr>
          <t>JEnnen:</t>
        </r>
        <r>
          <rPr>
            <sz val="9"/>
            <color indexed="81"/>
            <rFont val="Tahoma"/>
            <family val="2"/>
          </rPr>
          <t xml:space="preserve">
10-15</t>
        </r>
      </text>
    </comment>
    <comment ref="N215" authorId="118" shapeId="0" xr:uid="{00000000-0006-0000-0000-0000DE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range 29.0-33.6</t>
        </r>
      </text>
    </comment>
    <comment ref="O215" authorId="119" shapeId="0" xr:uid="{00000000-0006-0000-0000-0000DF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range 21.0-21.5</t>
        </r>
      </text>
    </comment>
    <comment ref="P215" authorId="120" shapeId="0" xr:uid="{00000000-0006-0000-0000-0000E0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Myuchelys latisternum (July 2020)</t>
        </r>
      </text>
    </comment>
    <comment ref="T215" authorId="7" shapeId="0" xr:uid="{00000000-0006-0000-0000-0000E1000000}">
      <text>
        <r>
          <rPr>
            <b/>
            <sz val="9"/>
            <color indexed="81"/>
            <rFont val="Tahoma"/>
            <family val="2"/>
          </rPr>
          <t>JEnnen:</t>
        </r>
        <r>
          <rPr>
            <sz val="9"/>
            <color indexed="81"/>
            <rFont val="Tahoma"/>
            <family val="2"/>
          </rPr>
          <t xml:space="preserve">
1-2 reported</t>
        </r>
      </text>
    </comment>
    <comment ref="J216" authorId="10" shapeId="0" xr:uid="{00000000-0006-0000-0000-0000E2000000}">
      <text>
        <r>
          <rPr>
            <b/>
            <sz val="9"/>
            <color indexed="81"/>
            <rFont val="Arial"/>
            <family val="2"/>
          </rPr>
          <t>John Iverson:</t>
        </r>
        <r>
          <rPr>
            <sz val="9"/>
            <color indexed="81"/>
            <rFont val="Arial"/>
            <family val="2"/>
          </rPr>
          <t xml:space="preserve">
estimated from our BM-CL data for Emydura macquarii from Chessman 1978 </t>
        </r>
      </text>
    </comment>
    <comment ref="J218" authorId="121" shapeId="0" xr:uid="{00000000-0006-0000-0000-0000E3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equation from Georges et al. 1982 for E. macquarii kreffti</t>
        </r>
      </text>
    </comment>
    <comment ref="O222" authorId="11" shapeId="0" xr:uid="{00000000-0006-0000-0000-0000E4000000}">
      <text>
        <r>
          <rPr>
            <b/>
            <sz val="9"/>
            <color indexed="81"/>
            <rFont val="Tahoma"/>
            <family val="2"/>
          </rPr>
          <t>TNACI:</t>
        </r>
        <r>
          <rPr>
            <sz val="9"/>
            <color indexed="81"/>
            <rFont val="Tahoma"/>
            <family val="2"/>
          </rPr>
          <t xml:space="preserve">
estimated from EM = 0.355EL + 0.591EW - 11.815 Iverson unpublished data (July 2020)</t>
        </r>
      </text>
    </comment>
    <comment ref="J223" authorId="122" shapeId="0" xr:uid="{00000000-0006-0000-0000-0000E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G224" authorId="123" shapeId="0" xr:uid="{00000000-0006-0000-0000-0000E6000000}">
      <text>
        <r>
          <rPr>
            <sz val="10"/>
            <color rgb="FF000000"/>
            <rFont val="Arial"/>
            <family val="2"/>
          </rPr>
          <t xml:space="preserve">
Comment:
    estimated ca. 0.5</t>
        </r>
      </text>
    </comment>
    <comment ref="K225" authorId="7" shapeId="0" xr:uid="{00000000-0006-0000-0000-0000E7000000}">
      <text>
        <r>
          <rPr>
            <b/>
            <sz val="9"/>
            <color indexed="81"/>
            <rFont val="Tahoma"/>
            <family val="2"/>
          </rPr>
          <t>JEnnen:</t>
        </r>
        <r>
          <rPr>
            <sz val="9"/>
            <color indexed="81"/>
            <rFont val="Tahoma"/>
            <family val="2"/>
          </rPr>
          <t xml:space="preserve">
6-8 reported</t>
        </r>
      </text>
    </comment>
    <comment ref="S225" authorId="10" shapeId="0" xr:uid="{00000000-0006-0000-0000-0000E8000000}">
      <text>
        <r>
          <rPr>
            <b/>
            <sz val="9"/>
            <color indexed="81"/>
            <rFont val="Arial"/>
            <family val="2"/>
          </rPr>
          <t>John Iverson:</t>
        </r>
        <r>
          <rPr>
            <sz val="9"/>
            <color indexed="81"/>
            <rFont val="Arial"/>
            <family val="2"/>
          </rPr>
          <t xml:space="preserve">
Molina (1995. Abstract 19th Annual Meeting International Herpetological Symposium. Denver Colorado reported RCM values "from 8.23% - 11.92%").</t>
        </r>
      </text>
    </comment>
    <comment ref="L226" authorId="7" shapeId="0" xr:uid="{00000000-0006-0000-0000-0000E9000000}">
      <text>
        <r>
          <rPr>
            <b/>
            <sz val="9"/>
            <color indexed="81"/>
            <rFont val="Tahoma"/>
            <family val="2"/>
          </rPr>
          <t>JEnnen:</t>
        </r>
        <r>
          <rPr>
            <sz val="9"/>
            <color indexed="81"/>
            <rFont val="Tahoma"/>
            <family val="2"/>
          </rPr>
          <t xml:space="preserve">
10-20</t>
        </r>
      </text>
    </comment>
    <comment ref="P226" authorId="11" shapeId="0" xr:uid="{00000000-0006-0000-0000-0000EA000000}">
      <text>
        <r>
          <rPr>
            <b/>
            <sz val="9"/>
            <color indexed="81"/>
            <rFont val="Tahoma"/>
            <family val="2"/>
          </rPr>
          <t>TNACI:</t>
        </r>
        <r>
          <rPr>
            <sz val="9"/>
            <color indexed="81"/>
            <rFont val="Tahoma"/>
            <family val="2"/>
          </rPr>
          <t xml:space="preserve">
estimated from EM = 0.355EL + 0.591EW - 11.815 Iverson unpublished data (July 2020)</t>
        </r>
      </text>
    </comment>
    <comment ref="J227" authorId="124" shapeId="0" xr:uid="{00000000-0006-0000-0000-0000E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227" authorId="11" shapeId="0" xr:uid="{00000000-0006-0000-0000-0000EC000000}">
      <text>
        <r>
          <rPr>
            <b/>
            <sz val="9"/>
            <color indexed="81"/>
            <rFont val="Tahoma"/>
            <family val="2"/>
          </rPr>
          <t>TNACI:</t>
        </r>
        <r>
          <rPr>
            <sz val="9"/>
            <color indexed="81"/>
            <rFont val="Tahoma"/>
            <family val="2"/>
          </rPr>
          <t xml:space="preserve">
estimated from EM = 0.355EL + 0.591EW - 11.815 Iverson unpublished data (July 2020)</t>
        </r>
      </text>
    </comment>
    <comment ref="N228" authorId="11" shapeId="0" xr:uid="{00000000-0006-0000-0000-0000ED000000}">
      <text>
        <r>
          <rPr>
            <b/>
            <sz val="9"/>
            <color indexed="81"/>
            <rFont val="Tahoma"/>
            <family val="2"/>
          </rPr>
          <t>TNACI:</t>
        </r>
        <r>
          <rPr>
            <sz val="9"/>
            <color indexed="81"/>
            <rFont val="Tahoma"/>
            <family val="2"/>
          </rPr>
          <t xml:space="preserve">
estimated from y = 1.0145x - 15.053 Iverson unpublished data
</t>
        </r>
      </text>
    </comment>
    <comment ref="O228" authorId="11" shapeId="0" xr:uid="{00000000-0006-0000-0000-0000EE000000}">
      <text>
        <r>
          <rPr>
            <b/>
            <sz val="9"/>
            <color indexed="81"/>
            <rFont val="Tahoma"/>
            <family val="2"/>
          </rPr>
          <t>TNACI:</t>
        </r>
        <r>
          <rPr>
            <sz val="9"/>
            <color indexed="81"/>
            <rFont val="Tahoma"/>
            <family val="2"/>
          </rPr>
          <t xml:space="preserve">
estimated from y = 0.8543x - 8.3994 Iverson unpublished data</t>
        </r>
      </text>
    </comment>
    <comment ref="N229" authorId="11" shapeId="0" xr:uid="{00000000-0006-0000-0000-0000EF000000}">
      <text>
        <r>
          <rPr>
            <b/>
            <sz val="9"/>
            <color indexed="81"/>
            <rFont val="Tahoma"/>
            <family val="2"/>
          </rPr>
          <t>TNACI:</t>
        </r>
        <r>
          <rPr>
            <sz val="9"/>
            <color indexed="81"/>
            <rFont val="Tahoma"/>
            <family val="2"/>
          </rPr>
          <t xml:space="preserve">
estimated from y = 1.0145x - 15.053 Iverson unpublished data
</t>
        </r>
      </text>
    </comment>
    <comment ref="O229" authorId="11" shapeId="0" xr:uid="{00000000-0006-0000-0000-0000F0000000}">
      <text>
        <r>
          <rPr>
            <b/>
            <sz val="9"/>
            <color indexed="81"/>
            <rFont val="Tahoma"/>
            <family val="2"/>
          </rPr>
          <t>TNACI:</t>
        </r>
        <r>
          <rPr>
            <sz val="9"/>
            <color indexed="81"/>
            <rFont val="Tahoma"/>
            <family val="2"/>
          </rPr>
          <t xml:space="preserve">
estimated from y = 0.8543x - 8.3994 Iverson unpublished data</t>
        </r>
      </text>
    </comment>
    <comment ref="J230" authorId="7" shapeId="0" xr:uid="{00000000-0006-0000-0000-0000F1000000}">
      <text>
        <r>
          <rPr>
            <b/>
            <sz val="9"/>
            <color indexed="81"/>
            <rFont val="Tahoma"/>
            <family val="2"/>
          </rPr>
          <t>JEnnen:</t>
        </r>
        <r>
          <rPr>
            <sz val="9"/>
            <color indexed="81"/>
            <rFont val="Tahoma"/>
            <family val="2"/>
          </rPr>
          <t xml:space="preserve">
estimated from our BM-CL database for Rhinemys rufipes (DEC 2020)</t>
        </r>
      </text>
    </comment>
    <comment ref="N230" authorId="11" shapeId="0" xr:uid="{00000000-0006-0000-0000-0000F2000000}">
      <text>
        <r>
          <rPr>
            <b/>
            <sz val="9"/>
            <color indexed="81"/>
            <rFont val="Tahoma"/>
            <family val="2"/>
          </rPr>
          <t>TNACI:</t>
        </r>
        <r>
          <rPr>
            <sz val="9"/>
            <color indexed="81"/>
            <rFont val="Tahoma"/>
            <family val="2"/>
          </rPr>
          <t xml:space="preserve">
estimated from y = 1.0145x - 15.053 Iverson unpublished data
</t>
        </r>
      </text>
    </comment>
    <comment ref="P230" authorId="11" shapeId="0" xr:uid="{00000000-0006-0000-0000-0000F3000000}">
      <text>
        <r>
          <rPr>
            <b/>
            <sz val="9"/>
            <color indexed="81"/>
            <rFont val="Tahoma"/>
            <family val="2"/>
          </rPr>
          <t>TNACI:</t>
        </r>
        <r>
          <rPr>
            <sz val="9"/>
            <color indexed="81"/>
            <rFont val="Tahoma"/>
            <family val="2"/>
          </rPr>
          <t xml:space="preserve">
estimated from y = 0.8543x - 8.3994 Iverson unpublished data</t>
        </r>
      </text>
    </comment>
    <comment ref="I231" authorId="125" shapeId="0" xr:uid="{00000000-0006-0000-0000-0000F4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Rhinemys rufipes from Lamar and Medem (1982)</t>
        </r>
      </text>
    </comment>
    <comment ref="J232" authorId="126" shapeId="0" xr:uid="{00000000-0006-0000-0000-0000F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232" authorId="127" shapeId="0" xr:uid="{00000000-0006-0000-0000-0000F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(July 2020)</t>
        </r>
      </text>
    </comment>
    <comment ref="T233" authorId="128" shapeId="0" xr:uid="{00000000-0006-0000-0000-0000F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t>
        </r>
      </text>
    </comment>
    <comment ref="J234" authorId="129" shapeId="0" xr:uid="{00000000-0006-0000-0000-0000F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T234" authorId="130" shapeId="0" xr:uid="{00000000-0006-0000-0000-0000F9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t>
        </r>
      </text>
    </comment>
    <comment ref="L237" authorId="1" shapeId="0" xr:uid="{00000000-0006-0000-0000-0000FA000000}">
      <text>
        <r>
          <rPr>
            <sz val="10"/>
            <color rgb="FF000000"/>
            <rFont val="Arial"/>
            <family val="2"/>
          </rPr>
          <t>Taken from table 1
	-Joshua Ennen</t>
        </r>
      </text>
    </comment>
    <comment ref="J239" authorId="131" shapeId="0" xr:uid="{00000000-0006-0000-0000-0000FB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N240" authorId="132" shapeId="0" xr:uid="{00000000-0006-0000-0000-0000FC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33-38; we used median</t>
        </r>
      </text>
    </comment>
    <comment ref="O240" authorId="133" shapeId="0" xr:uid="{00000000-0006-0000-0000-0000FD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29-32; we used median</t>
        </r>
      </text>
    </comment>
    <comment ref="P240" authorId="134" shapeId="0" xr:uid="{00000000-0006-0000-0000-0000FE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data set for P. geoffroanus (oct 2020)</t>
        </r>
      </text>
    </comment>
    <comment ref="J241" authorId="135" shapeId="0" xr:uid="{00000000-0006-0000-0000-0000FF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241" authorId="136" shapeId="0" xr:uid="{00000000-0006-0000-0000-000000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our egg database using regression from P. geoffroanus.</t>
        </r>
      </text>
    </comment>
    <comment ref="P244" authorId="10" shapeId="0" xr:uid="{00000000-0006-0000-0000-000001010000}">
      <text>
        <r>
          <rPr>
            <b/>
            <sz val="9"/>
            <color indexed="81"/>
            <rFont val="Arial"/>
            <family val="2"/>
          </rPr>
          <t>John Iverson:</t>
        </r>
        <r>
          <rPr>
            <sz val="9"/>
            <color indexed="81"/>
            <rFont val="Arial"/>
            <family val="2"/>
          </rPr>
          <t xml:space="preserve">
estimated from our egg data set for P. geoffroanus</t>
        </r>
      </text>
    </comment>
    <comment ref="J245" authorId="137" shapeId="0" xr:uid="{00000000-0006-0000-0000-000002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L246" authorId="7" shapeId="0" xr:uid="{00000000-0006-0000-0000-000003010000}">
      <text>
        <r>
          <rPr>
            <b/>
            <sz val="9"/>
            <color indexed="81"/>
            <rFont val="Tahoma"/>
            <family val="2"/>
          </rPr>
          <t>JEnnen:</t>
        </r>
        <r>
          <rPr>
            <sz val="9"/>
            <color indexed="81"/>
            <rFont val="Tahoma"/>
            <family val="2"/>
          </rPr>
          <t xml:space="preserve">
10-20</t>
        </r>
      </text>
    </comment>
    <comment ref="P246" authorId="138" shapeId="0" xr:uid="{00000000-0006-0000-0000-00000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P. geoffroanus</t>
        </r>
      </text>
    </comment>
    <comment ref="J248" authorId="139" shapeId="0" xr:uid="{00000000-0006-0000-0000-00000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Rhinemys rufipes from Lamar and Medem (1982)</t>
        </r>
      </text>
    </comment>
    <comment ref="P248" authorId="140" shapeId="0" xr:uid="{00000000-0006-0000-0000-000006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P. geoffroanus in egg database (Aug 2020)</t>
        </r>
      </text>
    </comment>
    <comment ref="N249" authorId="141" shapeId="0" xr:uid="{00000000-0006-0000-0000-000007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50-55</t>
        </r>
      </text>
    </comment>
    <comment ref="O249" authorId="142" shapeId="0" xr:uid="{00000000-0006-0000-0000-000008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24-29</t>
        </r>
      </text>
    </comment>
    <comment ref="P249" authorId="143" shapeId="0" xr:uid="{00000000-0006-0000-0000-00000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18-20</t>
        </r>
      </text>
    </comment>
    <comment ref="F252" authorId="144" shapeId="0" xr:uid="{00000000-0006-0000-0000-00000A010000}">
      <text>
        <r>
          <rPr>
            <sz val="10"/>
            <color rgb="FF000000"/>
            <rFont val="Arial"/>
            <family val="2"/>
          </rPr>
          <t xml:space="preserve">
Comment:
    Colombia</t>
        </r>
      </text>
    </comment>
    <comment ref="N253" authorId="145" shapeId="0" xr:uid="{00000000-0006-0000-0000-00000B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45-51 by taking median</t>
        </r>
      </text>
    </comment>
    <comment ref="O253" authorId="146" shapeId="0" xr:uid="{00000000-0006-0000-0000-00000C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25-26 by taking median</t>
        </r>
      </text>
    </comment>
    <comment ref="P253" authorId="147" shapeId="0" xr:uid="{00000000-0006-0000-0000-00000D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(Sept 2020)</t>
        </r>
      </text>
    </comment>
    <comment ref="S254" authorId="1" shapeId="0" xr:uid="{00000000-0006-0000-0000-00000E010000}">
      <text>
        <r>
          <rPr>
            <sz val="10"/>
            <color rgb="FF000000"/>
            <rFont val="Arial"/>
            <family val="2"/>
          </rPr>
          <t>estimated from body mass and clutch mass
	-Joshua Ennen</t>
        </r>
      </text>
    </comment>
    <comment ref="P255" authorId="148" shapeId="0" xr:uid="{00000000-0006-0000-0000-00000F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set using Myuchelys latisternum (July 2020)</t>
        </r>
      </text>
    </comment>
    <comment ref="P258" authorId="149" shapeId="0" xr:uid="{00000000-0006-0000-0000-000010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G polyphemus (one species with similar egg shape and size and brittle</t>
        </r>
      </text>
    </comment>
    <comment ref="I259" authorId="10" shapeId="0" xr:uid="{00000000-0006-0000-0000-000011010000}">
      <text>
        <r>
          <rPr>
            <b/>
            <sz val="9"/>
            <color indexed="81"/>
            <rFont val="Arial"/>
            <family val="2"/>
          </rPr>
          <t>John Iverson:</t>
        </r>
        <r>
          <rPr>
            <sz val="9"/>
            <color indexed="81"/>
            <rFont val="Arial"/>
            <family val="2"/>
          </rPr>
          <t xml:space="preserve">
"29.5-31.3"</t>
        </r>
      </text>
    </comment>
    <comment ref="J259" authorId="10" shapeId="0" xr:uid="{00000000-0006-0000-0000-000012010000}">
      <text>
        <r>
          <rPr>
            <b/>
            <sz val="9"/>
            <color indexed="81"/>
            <rFont val="Arial"/>
            <family val="2"/>
          </rPr>
          <t>John Iverson:</t>
        </r>
        <r>
          <rPr>
            <sz val="9"/>
            <color indexed="81"/>
            <rFont val="Arial"/>
            <family val="2"/>
          </rPr>
          <t xml:space="preserve">
"2000-2800"</t>
        </r>
      </text>
    </comment>
    <comment ref="L259" authorId="10" shapeId="0" xr:uid="{00000000-0006-0000-0000-000013010000}">
      <text>
        <r>
          <rPr>
            <b/>
            <sz val="9"/>
            <color indexed="81"/>
            <rFont val="Arial"/>
            <family val="2"/>
          </rPr>
          <t>John Iverson:</t>
        </r>
        <r>
          <rPr>
            <sz val="9"/>
            <color indexed="81"/>
            <rFont val="Arial"/>
            <family val="2"/>
          </rPr>
          <t xml:space="preserve">
"5-7"</t>
        </r>
      </text>
    </comment>
    <comment ref="P260" authorId="150" shapeId="0" xr:uid="{00000000-0006-0000-0000-00001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6.4-9.2 by taking median</t>
        </r>
      </text>
    </comment>
    <comment ref="J262" authorId="151" shapeId="0" xr:uid="{00000000-0006-0000-0000-00001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Emydura macquarii krefftii from Georges (1982) (Aug 2020)</t>
        </r>
      </text>
    </comment>
    <comment ref="J263" authorId="152" shapeId="0" xr:uid="{00000000-0006-0000-0000-000016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from Lamar and Medem (1982)</t>
        </r>
      </text>
    </comment>
    <comment ref="K264" authorId="7" shapeId="0" xr:uid="{00000000-0006-0000-0000-000017010000}">
      <text>
        <r>
          <rPr>
            <b/>
            <sz val="9"/>
            <color indexed="81"/>
            <rFont val="Tahoma"/>
            <family val="2"/>
          </rPr>
          <t>JEnnen:</t>
        </r>
        <r>
          <rPr>
            <sz val="9"/>
            <color indexed="81"/>
            <rFont val="Tahoma"/>
            <family val="2"/>
          </rPr>
          <t xml:space="preserve">
6-10 reported</t>
        </r>
      </text>
    </comment>
    <comment ref="L264" authorId="7" shapeId="0" xr:uid="{00000000-0006-0000-0000-000018010000}">
      <text>
        <r>
          <rPr>
            <b/>
            <sz val="9"/>
            <color indexed="81"/>
            <rFont val="Tahoma"/>
            <family val="2"/>
          </rPr>
          <t>JEnnen:</t>
        </r>
        <r>
          <rPr>
            <sz val="9"/>
            <color indexed="81"/>
            <rFont val="Tahoma"/>
            <family val="2"/>
          </rPr>
          <t xml:space="preserve">
3-12
</t>
        </r>
      </text>
    </comment>
    <comment ref="O264" authorId="153" shapeId="0" xr:uid="{00000000-0006-0000-0000-00001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EL/EW ratio for rufipes from Lamar and Medem 1982 = 1.1141</t>
        </r>
      </text>
    </comment>
    <comment ref="P264" authorId="154" shapeId="0" xr:uid="{00000000-0006-0000-0000-00001A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(DEC 2020)</t>
        </r>
      </text>
    </comment>
    <comment ref="G265" authorId="1" shapeId="0" xr:uid="{00000000-0006-0000-0000-00001B010000}">
      <text>
        <r>
          <rPr>
            <sz val="10"/>
            <color rgb="FF000000"/>
            <rFont val="Arial"/>
            <family val="2"/>
          </rPr>
          <t>estimated
	-Joshua Ennen</t>
        </r>
      </text>
    </comment>
    <comment ref="R265" authorId="1" shapeId="0" xr:uid="{00000000-0006-0000-0000-00001C010000}">
      <text>
        <r>
          <rPr>
            <sz val="10"/>
            <color rgb="FF000000"/>
            <rFont val="Arial"/>
            <family val="2"/>
          </rPr>
          <t>estimated from clutch size and egg mass
	-Joshua Ennen</t>
        </r>
      </text>
    </comment>
    <comment ref="K267" authorId="10" shapeId="0" xr:uid="{00000000-0006-0000-0000-00001D010000}">
      <text>
        <r>
          <rPr>
            <b/>
            <sz val="9"/>
            <color indexed="81"/>
            <rFont val="Arial"/>
            <family val="2"/>
          </rPr>
          <t>John Iverson:</t>
        </r>
        <r>
          <rPr>
            <sz val="9"/>
            <color indexed="81"/>
            <rFont val="Arial"/>
            <family val="2"/>
          </rPr>
          <t xml:space="preserve">
mean of 15 populations using median values</t>
        </r>
      </text>
    </comment>
    <comment ref="G269" authorId="155" shapeId="0" xr:uid="{00000000-0006-0000-0000-00001E010000}">
      <text>
        <r>
          <rPr>
            <sz val="10"/>
            <color rgb="FF000000"/>
            <rFont val="Arial"/>
            <family val="2"/>
          </rPr>
          <t xml:space="preserve">
Comment:
    estimated ca. -19</t>
        </r>
      </text>
    </comment>
    <comment ref="J270" authorId="10" shapeId="0" xr:uid="{00000000-0006-0000-0000-00001F010000}">
      <text>
        <r>
          <rPr>
            <b/>
            <sz val="9"/>
            <color indexed="81"/>
            <rFont val="Arial"/>
            <family val="2"/>
          </rPr>
          <t>John Iverson:</t>
        </r>
        <r>
          <rPr>
            <sz val="9"/>
            <color indexed="81"/>
            <rFont val="Arial"/>
            <family val="2"/>
          </rPr>
          <t xml:space="preserve">
estimated from BM-CL data in Meylan et al. 2011 (BAMNH)</t>
        </r>
      </text>
    </comment>
    <comment ref="J271" authorId="10" shapeId="0" xr:uid="{00000000-0006-0000-0000-000020010000}">
      <text>
        <r>
          <rPr>
            <b/>
            <sz val="9"/>
            <color indexed="81"/>
            <rFont val="Arial"/>
            <family val="2"/>
          </rPr>
          <t>John Iverson:</t>
        </r>
        <r>
          <rPr>
            <sz val="9"/>
            <color indexed="81"/>
            <rFont val="Arial"/>
            <family val="2"/>
          </rPr>
          <t xml:space="preserve">
estimated from BM-CL data in Meylan et al. 2011 (BAMNH)</t>
        </r>
      </text>
    </comment>
    <comment ref="T271" authorId="10" shapeId="0" xr:uid="{00000000-0006-0000-0000-000021010000}">
      <text>
        <r>
          <rPr>
            <b/>
            <sz val="9"/>
            <color indexed="81"/>
            <rFont val="Arial"/>
            <family val="2"/>
          </rPr>
          <t>John Iverson:</t>
        </r>
        <r>
          <rPr>
            <sz val="9"/>
            <color indexed="81"/>
            <rFont val="Arial"/>
            <family val="2"/>
          </rPr>
          <t xml:space="preserve">
REMIGRATION INTERVAL 2-3 YEARS</t>
        </r>
      </text>
    </comment>
    <comment ref="P272" authorId="156" shapeId="0" xr:uid="{00000000-0006-0000-0000-000022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regression database (Sept 2020)</t>
        </r>
      </text>
    </comment>
    <comment ref="J273" authorId="10" shapeId="0" xr:uid="{00000000-0006-0000-0000-000023010000}">
      <text>
        <r>
          <rPr>
            <b/>
            <sz val="9"/>
            <color indexed="81"/>
            <rFont val="Arial"/>
            <family val="2"/>
          </rPr>
          <t>John Iverson:</t>
        </r>
        <r>
          <rPr>
            <sz val="9"/>
            <color indexed="81"/>
            <rFont val="Arial"/>
            <family val="2"/>
          </rPr>
          <t xml:space="preserve">
estimated from BM-CL data in Meylan et al. 2011 (BAMNH)</t>
        </r>
      </text>
    </comment>
    <comment ref="T274" authorId="7" shapeId="0" xr:uid="{00000000-0006-0000-0000-000024010000}">
      <text>
        <r>
          <rPr>
            <b/>
            <sz val="9"/>
            <color indexed="81"/>
            <rFont val="Tahoma"/>
            <family val="2"/>
          </rPr>
          <t>JEnnen:</t>
        </r>
        <r>
          <rPr>
            <sz val="9"/>
            <color indexed="81"/>
            <rFont val="Tahoma"/>
            <family val="2"/>
          </rPr>
          <t xml:space="preserve">
2-3 reported</t>
        </r>
      </text>
    </comment>
    <comment ref="J276" authorId="157" shapeId="0" xr:uid="{00000000-0006-0000-0000-00002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0.0052088*CL^2.717 (Meylan et al. 2011 BAMNH)</t>
        </r>
      </text>
    </comment>
    <comment ref="J277" authorId="10" shapeId="0" xr:uid="{00000000-0006-0000-0000-000026010000}">
      <text>
        <r>
          <rPr>
            <b/>
            <sz val="9"/>
            <color indexed="81"/>
            <rFont val="Arial"/>
            <family val="2"/>
          </rPr>
          <t>John Iverson:</t>
        </r>
        <r>
          <rPr>
            <sz val="9"/>
            <color indexed="81"/>
            <rFont val="Arial"/>
            <family val="2"/>
          </rPr>
          <t xml:space="preserve">
estimated from BM-CL data in Meylan et al. 2011 (BAMNH)</t>
        </r>
      </text>
    </comment>
    <comment ref="I281" authorId="158" shapeId="0" xr:uid="{00000000-0006-0000-0000-000027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0.0052088*CL^2.717 (Meylan et al. 2011 BAMNH)</t>
        </r>
      </text>
    </comment>
    <comment ref="I285" authorId="10" shapeId="0" xr:uid="{00000000-0006-0000-0000-000028010000}">
      <text>
        <r>
          <rPr>
            <b/>
            <sz val="9"/>
            <color indexed="81"/>
            <rFont val="Arial"/>
            <family val="2"/>
          </rPr>
          <t>John Iverson:</t>
        </r>
        <r>
          <rPr>
            <sz val="9"/>
            <color indexed="81"/>
            <rFont val="Arial"/>
            <family val="2"/>
          </rPr>
          <t xml:space="preserve">
estimated from curved CL/SCL ratio calculated from Pinckney 1990</t>
        </r>
      </text>
    </comment>
    <comment ref="P285" authorId="159" shapeId="0" xr:uid="{00000000-0006-0000-0000-00002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regression database (Sept 2020)</t>
        </r>
      </text>
    </comment>
    <comment ref="J287" authorId="10" shapeId="0" xr:uid="{00000000-0006-0000-0000-00002A010000}">
      <text>
        <r>
          <rPr>
            <b/>
            <sz val="9"/>
            <color indexed="81"/>
            <rFont val="Arial"/>
            <family val="2"/>
          </rPr>
          <t>John Iverson:</t>
        </r>
        <r>
          <rPr>
            <sz val="9"/>
            <color indexed="81"/>
            <rFont val="Arial"/>
            <family val="2"/>
          </rPr>
          <t xml:space="preserve">
estimated from BM-CL data in Meylan et al. 2011 (BAMNH)</t>
        </r>
      </text>
    </comment>
    <comment ref="P287" authorId="160" shapeId="0" xr:uid="{00000000-0006-0000-0000-00002B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regression database (Sept 2020)</t>
        </r>
      </text>
    </comment>
    <comment ref="I288" authorId="10" shapeId="0" xr:uid="{00000000-0006-0000-0000-00002C010000}">
      <text>
        <r>
          <rPr>
            <b/>
            <sz val="9"/>
            <color indexed="81"/>
            <rFont val="Arial"/>
            <family val="2"/>
          </rPr>
          <t>John Iverson:</t>
        </r>
        <r>
          <rPr>
            <sz val="9"/>
            <color indexed="81"/>
            <rFont val="Arial"/>
            <family val="2"/>
          </rPr>
          <t xml:space="preserve">
estimated from BM-CL data in Meylan et al. 2011 BAMNH</t>
        </r>
      </text>
    </comment>
    <comment ref="P288" authorId="10" shapeId="0" xr:uid="{00000000-0006-0000-0000-00002D010000}">
      <text>
        <r>
          <rPr>
            <b/>
            <sz val="9"/>
            <color indexed="81"/>
            <rFont val="Arial"/>
            <family val="2"/>
          </rPr>
          <t>John Iverson:</t>
        </r>
        <r>
          <rPr>
            <sz val="9"/>
            <color indexed="81"/>
            <rFont val="Arial"/>
            <family val="2"/>
          </rPr>
          <t xml:space="preserve">
estimated from clutch mass and clutch size reported in paper</t>
        </r>
      </text>
    </comment>
    <comment ref="T288" authorId="10" shapeId="0" xr:uid="{00000000-0006-0000-0000-00002E010000}">
      <text>
        <r>
          <rPr>
            <b/>
            <sz val="9"/>
            <color indexed="81"/>
            <rFont val="Arial"/>
            <family val="2"/>
          </rPr>
          <t>John Iverson:</t>
        </r>
        <r>
          <rPr>
            <sz val="9"/>
            <color indexed="81"/>
            <rFont val="Arial"/>
            <family val="2"/>
          </rPr>
          <t xml:space="preserve">
Remigration interval usually 2 years</t>
        </r>
      </text>
    </comment>
    <comment ref="I289" authorId="10" shapeId="0" xr:uid="{00000000-0006-0000-0000-00002F010000}">
      <text>
        <r>
          <rPr>
            <b/>
            <sz val="9"/>
            <color indexed="81"/>
            <rFont val="Arial"/>
            <family val="2"/>
          </rPr>
          <t>John Iverson:</t>
        </r>
        <r>
          <rPr>
            <sz val="9"/>
            <color indexed="81"/>
            <rFont val="Arial"/>
            <family val="2"/>
          </rPr>
          <t xml:space="preserve">
curved CL = 95.7; SCL estimated from Pinckney 1990 data.
CCL/SCL=1.080</t>
        </r>
      </text>
    </comment>
    <comment ref="J289" authorId="161" shapeId="0" xr:uid="{00000000-0006-0000-0000-000030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0.0052088*CL^2.717 (Meylan et al. 2011 BAMNH)</t>
        </r>
      </text>
    </comment>
    <comment ref="L289" authorId="10" shapeId="0" xr:uid="{00000000-0006-0000-0000-000031010000}">
      <text>
        <r>
          <rPr>
            <b/>
            <sz val="9"/>
            <color indexed="81"/>
            <rFont val="Arial"/>
            <family val="2"/>
          </rPr>
          <t>John Iverson:</t>
        </r>
        <r>
          <rPr>
            <sz val="9"/>
            <color indexed="81"/>
            <rFont val="Arial"/>
            <family val="2"/>
          </rPr>
          <t xml:space="preserve">
included 0.15 yolkless egg per clutch</t>
        </r>
      </text>
    </comment>
    <comment ref="T289" authorId="10" shapeId="0" xr:uid="{00000000-0006-0000-0000-000032010000}">
      <text>
        <r>
          <rPr>
            <b/>
            <sz val="9"/>
            <color indexed="81"/>
            <rFont val="Arial"/>
            <family val="2"/>
          </rPr>
          <t>John Iverson:</t>
        </r>
        <r>
          <rPr>
            <sz val="9"/>
            <color indexed="81"/>
            <rFont val="Arial"/>
            <family val="2"/>
          </rPr>
          <t xml:space="preserve">
remigration interval 2-3 years</t>
        </r>
      </text>
    </comment>
    <comment ref="J292" authorId="162" shapeId="0" xr:uid="{00000000-0006-0000-0000-000033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0.0052088*CL^2.717 (Meylan et al. 2011 BAMNH)</t>
        </r>
      </text>
    </comment>
    <comment ref="I293" authorId="10" shapeId="0" xr:uid="{00000000-0006-0000-0000-000034010000}">
      <text>
        <r>
          <rPr>
            <b/>
            <sz val="9"/>
            <color indexed="81"/>
            <rFont val="Arial"/>
            <family val="2"/>
          </rPr>
          <t>John Iverson:</t>
        </r>
        <r>
          <rPr>
            <sz val="9"/>
            <color indexed="81"/>
            <rFont val="Arial"/>
            <family val="2"/>
          </rPr>
          <t xml:space="preserve">
curved CL = 101.2</t>
        </r>
      </text>
    </comment>
    <comment ref="J293" authorId="163" shapeId="0" xr:uid="{00000000-0006-0000-0000-00003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Ehrhart (1977) (Sept 2020)</t>
        </r>
      </text>
    </comment>
    <comment ref="P293" authorId="164" shapeId="0" xr:uid="{00000000-0006-0000-0000-000036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regression database (Sept 2020)</t>
        </r>
      </text>
    </comment>
    <comment ref="L294" authorId="10" shapeId="0" xr:uid="{00000000-0006-0000-0000-000037010000}">
      <text>
        <r>
          <rPr>
            <b/>
            <sz val="9"/>
            <color indexed="81"/>
            <rFont val="Arial"/>
            <family val="2"/>
          </rPr>
          <t>John Iverson:</t>
        </r>
        <r>
          <rPr>
            <sz val="9"/>
            <color indexed="81"/>
            <rFont val="Arial"/>
            <family val="2"/>
          </rPr>
          <t xml:space="preserve">
excludes yolkless eggs</t>
        </r>
      </text>
    </comment>
    <comment ref="J297" authorId="10" shapeId="0" xr:uid="{00000000-0006-0000-0000-000038010000}">
      <text>
        <r>
          <rPr>
            <b/>
            <sz val="9"/>
            <color indexed="81"/>
            <rFont val="Arial"/>
            <family val="2"/>
          </rPr>
          <t>John Iverson:</t>
        </r>
        <r>
          <rPr>
            <sz val="9"/>
            <color indexed="81"/>
            <rFont val="Arial"/>
            <family val="2"/>
          </rPr>
          <t xml:space="preserve">
estimated from BM-CL data in Meylan et al. 2011 (BAMNH)</t>
        </r>
      </text>
    </comment>
    <comment ref="J298" authorId="10" shapeId="0" xr:uid="{00000000-0006-0000-0000-000039010000}">
      <text>
        <r>
          <rPr>
            <b/>
            <sz val="9"/>
            <color indexed="81"/>
            <rFont val="Arial"/>
            <family val="2"/>
          </rPr>
          <t>John Iverson:</t>
        </r>
        <r>
          <rPr>
            <sz val="9"/>
            <color indexed="81"/>
            <rFont val="Arial"/>
            <family val="2"/>
          </rPr>
          <t xml:space="preserve">
estimated from BM-CL data in Meylan et al. 2011 (BAMNH)</t>
        </r>
      </text>
    </comment>
    <comment ref="J299" authorId="165" shapeId="0" xr:uid="{00000000-0006-0000-0000-00003A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0.0052088*CL^2.717 (Meylan et al. 2011 BAMNH)</t>
        </r>
      </text>
    </comment>
    <comment ref="J300" authorId="10" shapeId="0" xr:uid="{00000000-0006-0000-0000-00003B010000}">
      <text>
        <r>
          <rPr>
            <b/>
            <sz val="9"/>
            <color indexed="81"/>
            <rFont val="Arial"/>
            <family val="2"/>
          </rPr>
          <t>John Iverson:</t>
        </r>
        <r>
          <rPr>
            <sz val="9"/>
            <color indexed="81"/>
            <rFont val="Arial"/>
            <family val="2"/>
          </rPr>
          <t xml:space="preserve">
estimated from BM-CL data in Meylan et al. 2011 BAMNH</t>
        </r>
      </text>
    </comment>
    <comment ref="T300" authorId="10" shapeId="0" xr:uid="{00000000-0006-0000-0000-00003C010000}">
      <text>
        <r>
          <rPr>
            <b/>
            <sz val="9"/>
            <color indexed="81"/>
            <rFont val="Arial"/>
            <family val="2"/>
          </rPr>
          <t>John Iverson:</t>
        </r>
        <r>
          <rPr>
            <sz val="9"/>
            <color indexed="81"/>
            <rFont val="Arial"/>
            <family val="2"/>
          </rPr>
          <t xml:space="preserve">
remigration interval 2.59 years</t>
        </r>
      </text>
    </comment>
    <comment ref="K302" authorId="10" shapeId="0" xr:uid="{00000000-0006-0000-0000-00003D010000}">
      <text>
        <r>
          <rPr>
            <b/>
            <sz val="9"/>
            <color indexed="81"/>
            <rFont val="Arial"/>
            <family val="2"/>
          </rPr>
          <t>John Iverson:</t>
        </r>
        <r>
          <rPr>
            <sz val="9"/>
            <color indexed="81"/>
            <rFont val="Arial"/>
            <family val="2"/>
          </rPr>
          <t xml:space="preserve">
mean of 14 populations usung median values</t>
        </r>
      </text>
    </comment>
    <comment ref="P304" authorId="10" shapeId="0" xr:uid="{00000000-0006-0000-0000-00003E010000}">
      <text>
        <r>
          <rPr>
            <b/>
            <sz val="9"/>
            <color indexed="81"/>
            <rFont val="Arial"/>
            <family val="2"/>
          </rPr>
          <t>John Iverson:</t>
        </r>
        <r>
          <rPr>
            <sz val="9"/>
            <color indexed="81"/>
            <rFont val="Arial"/>
            <family val="2"/>
          </rPr>
          <t xml:space="preserve">
estimated from our egg data set</t>
        </r>
      </text>
    </comment>
    <comment ref="J305" authorId="7" shapeId="0" xr:uid="{00000000-0006-0000-0000-00003F010000}">
      <text>
        <r>
          <rPr>
            <b/>
            <sz val="9"/>
            <color indexed="81"/>
            <rFont val="Tahoma"/>
            <family val="2"/>
          </rPr>
          <t>JEnnen:</t>
        </r>
        <r>
          <rPr>
            <sz val="9"/>
            <color indexed="81"/>
            <rFont val="Tahoma"/>
            <family val="2"/>
          </rPr>
          <t xml:space="preserve">
estimated from our BM-CL dataset from Costa Rica (DEC 2020)</t>
        </r>
      </text>
    </comment>
    <comment ref="T305" authorId="10" shapeId="0" xr:uid="{00000000-0006-0000-0000-000040010000}">
      <text>
        <r>
          <rPr>
            <b/>
            <sz val="9"/>
            <color indexed="81"/>
            <rFont val="Arial"/>
            <family val="2"/>
          </rPr>
          <t>John Iverson:</t>
        </r>
        <r>
          <rPr>
            <sz val="9"/>
            <color indexed="81"/>
            <rFont val="Arial"/>
            <family val="2"/>
          </rPr>
          <t xml:space="preserve">
mode renest = 3 years</t>
        </r>
      </text>
    </comment>
    <comment ref="T306" authorId="10" shapeId="0" xr:uid="{00000000-0006-0000-0000-000041010000}">
      <text>
        <r>
          <rPr>
            <b/>
            <sz val="9"/>
            <color indexed="81"/>
            <rFont val="Arial"/>
            <family val="2"/>
          </rPr>
          <t>John Iverson:</t>
        </r>
        <r>
          <rPr>
            <sz val="9"/>
            <color indexed="81"/>
            <rFont val="Arial"/>
            <family val="2"/>
          </rPr>
          <t xml:space="preserve">
uo to 7 or 8; remigration interval average = 3 years</t>
        </r>
      </text>
    </comment>
    <comment ref="J307" authorId="10" shapeId="0" xr:uid="{00000000-0006-0000-0000-000042010000}">
      <text>
        <r>
          <rPr>
            <b/>
            <sz val="9"/>
            <color indexed="81"/>
            <rFont val="Arial"/>
            <family val="2"/>
          </rPr>
          <t>John Iverson:</t>
        </r>
        <r>
          <rPr>
            <sz val="9"/>
            <color indexed="81"/>
            <rFont val="Arial"/>
            <family val="2"/>
          </rPr>
          <t xml:space="preserve">
estimated from the BM-CL data in Hendrickson 1958</t>
        </r>
      </text>
    </comment>
    <comment ref="T307" authorId="10" shapeId="0" xr:uid="{00000000-0006-0000-0000-000043010000}">
      <text>
        <r>
          <rPr>
            <b/>
            <sz val="9"/>
            <color indexed="81"/>
            <rFont val="Arial"/>
            <family val="2"/>
          </rPr>
          <t>John Iverson:</t>
        </r>
        <r>
          <rPr>
            <sz val="9"/>
            <color indexed="81"/>
            <rFont val="Arial"/>
            <family val="2"/>
          </rPr>
          <t xml:space="preserve">
up to 9</t>
        </r>
      </text>
    </comment>
    <comment ref="J309" authorId="166" shapeId="0" xr:uid="{00000000-0006-0000-0000-00004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Meylan et al. (2011 BAMNH)</t>
        </r>
      </text>
    </comment>
    <comment ref="P310" authorId="167" shapeId="0" xr:uid="{00000000-0006-0000-0000-00004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dataset (Sept 2020)</t>
        </r>
      </text>
    </comment>
    <comment ref="J312" authorId="168" shapeId="0" xr:uid="{00000000-0006-0000-0000-000046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Meylan et al. (2011 BAMNH)</t>
        </r>
      </text>
    </comment>
    <comment ref="T313" authorId="10" shapeId="0" xr:uid="{00000000-0006-0000-0000-000047010000}">
      <text>
        <r>
          <rPr>
            <b/>
            <sz val="9"/>
            <color indexed="81"/>
            <rFont val="Arial"/>
            <family val="2"/>
          </rPr>
          <t>John Iverson:</t>
        </r>
        <r>
          <rPr>
            <sz val="9"/>
            <color indexed="81"/>
            <rFont val="Arial"/>
            <family val="2"/>
          </rPr>
          <t xml:space="preserve">
biennial remigration
2.4-3.0 reported</t>
        </r>
      </text>
    </comment>
    <comment ref="I314" authorId="10" shapeId="0" xr:uid="{00000000-0006-0000-0000-000048010000}">
      <text>
        <r>
          <rPr>
            <b/>
            <sz val="9"/>
            <color indexed="81"/>
            <rFont val="Arial"/>
            <family val="2"/>
          </rPr>
          <t>John Iverson:</t>
        </r>
        <r>
          <rPr>
            <sz val="9"/>
            <color indexed="81"/>
            <rFont val="Arial"/>
            <family val="2"/>
          </rPr>
          <t xml:space="preserve">
curved CL = 107.03; SCL estimated using equation from Eguchi et al. (2012)</t>
        </r>
      </text>
    </comment>
    <comment ref="J314" authorId="169" shapeId="0" xr:uid="{00000000-0006-0000-0000-00004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South Pacific population Hirth 1982 (Sept 2020)</t>
        </r>
      </text>
    </comment>
    <comment ref="L314" authorId="10" shapeId="0" xr:uid="{00000000-0006-0000-0000-00004A010000}">
      <text>
        <r>
          <rPr>
            <b/>
            <sz val="9"/>
            <color indexed="81"/>
            <rFont val="Arial"/>
            <family val="2"/>
          </rPr>
          <t>John Iverson:</t>
        </r>
        <r>
          <rPr>
            <sz val="9"/>
            <color indexed="81"/>
            <rFont val="Arial"/>
            <family val="2"/>
          </rPr>
          <t xml:space="preserve">
includes 0.08 yolkless egg per clutch on average</t>
        </r>
      </text>
    </comment>
    <comment ref="T314" authorId="10" shapeId="0" xr:uid="{00000000-0006-0000-0000-00004B010000}">
      <text>
        <r>
          <rPr>
            <b/>
            <sz val="9"/>
            <color indexed="81"/>
            <rFont val="Arial"/>
            <family val="2"/>
          </rPr>
          <t>John Iverson:</t>
        </r>
        <r>
          <rPr>
            <sz val="9"/>
            <color indexed="81"/>
            <rFont val="Arial"/>
            <family val="2"/>
          </rPr>
          <t xml:space="preserve">
remigration interval 3-6 years</t>
        </r>
      </text>
    </comment>
    <comment ref="J315" authorId="170" shapeId="0" xr:uid="{00000000-0006-0000-0000-00004C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Meylan et al. (2011 BAMNH)</t>
        </r>
      </text>
    </comment>
    <comment ref="T316" authorId="10" shapeId="0" xr:uid="{00000000-0006-0000-0000-00004D010000}">
      <text>
        <r>
          <rPr>
            <b/>
            <sz val="9"/>
            <color indexed="81"/>
            <rFont val="Arial"/>
            <family val="2"/>
          </rPr>
          <t>John Iverson:</t>
        </r>
        <r>
          <rPr>
            <sz val="9"/>
            <color indexed="81"/>
            <rFont val="Arial"/>
            <family val="2"/>
          </rPr>
          <t xml:space="preserve">
remigration every 3-4 years</t>
        </r>
      </text>
    </comment>
    <comment ref="J317" authorId="171" shapeId="0" xr:uid="{00000000-0006-0000-0000-00004E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dataset Hirth and Carr 1962</t>
        </r>
      </text>
    </comment>
    <comment ref="T317" authorId="10" shapeId="0" xr:uid="{00000000-0006-0000-0000-00004F010000}">
      <text>
        <r>
          <rPr>
            <b/>
            <sz val="9"/>
            <color indexed="81"/>
            <rFont val="Arial"/>
            <family val="2"/>
          </rPr>
          <t>John Iverson:</t>
        </r>
        <r>
          <rPr>
            <sz val="9"/>
            <color indexed="81"/>
            <rFont val="Arial"/>
            <family val="2"/>
          </rPr>
          <t xml:space="preserve">
remigration interval 3.9 years</t>
        </r>
      </text>
    </comment>
    <comment ref="K318" authorId="7" shapeId="0" xr:uid="{00000000-0006-0000-0000-000050010000}">
      <text>
        <r>
          <rPr>
            <b/>
            <sz val="9"/>
            <color indexed="81"/>
            <rFont val="Tahoma"/>
            <family val="2"/>
          </rPr>
          <t>JEnnen:</t>
        </r>
        <r>
          <rPr>
            <sz val="9"/>
            <color indexed="81"/>
            <rFont val="Tahoma"/>
            <family val="2"/>
          </rPr>
          <t xml:space="preserve">
8-10 reported</t>
        </r>
      </text>
    </comment>
    <comment ref="T318" authorId="10" shapeId="0" xr:uid="{00000000-0006-0000-0000-000051010000}">
      <text>
        <r>
          <rPr>
            <b/>
            <sz val="9"/>
            <color indexed="81"/>
            <rFont val="Arial"/>
            <family val="2"/>
          </rPr>
          <t>John Iverson:</t>
        </r>
        <r>
          <rPr>
            <sz val="9"/>
            <color indexed="81"/>
            <rFont val="Arial"/>
            <family val="2"/>
          </rPr>
          <t xml:space="preserve">
nest every 1.85 yrs on average</t>
        </r>
      </text>
    </comment>
    <comment ref="L319" authorId="10" shapeId="0" xr:uid="{00000000-0006-0000-0000-000052010000}">
      <text>
        <r>
          <rPr>
            <b/>
            <sz val="9"/>
            <color indexed="81"/>
            <rFont val="Arial"/>
            <family val="2"/>
          </rPr>
          <t>John Iverson:</t>
        </r>
        <r>
          <rPr>
            <sz val="9"/>
            <color indexed="81"/>
            <rFont val="Arial"/>
            <family val="2"/>
          </rPr>
          <t xml:space="preserve">
plus 0.4 yolkless eggs per clutch</t>
        </r>
      </text>
    </comment>
    <comment ref="T319" authorId="10" shapeId="0" xr:uid="{00000000-0006-0000-0000-000053010000}">
      <text>
        <r>
          <rPr>
            <b/>
            <sz val="9"/>
            <color indexed="81"/>
            <rFont val="Arial"/>
            <family val="2"/>
          </rPr>
          <t>John Iverson:</t>
        </r>
        <r>
          <rPr>
            <sz val="9"/>
            <color indexed="81"/>
            <rFont val="Arial"/>
            <family val="2"/>
          </rPr>
          <t xml:space="preserve">
remigration interval = 2.7 years</t>
        </r>
      </text>
    </comment>
    <comment ref="J320" authorId="172" shapeId="0" xr:uid="{00000000-0006-0000-0000-00005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dataset using Pritchard 1969</t>
        </r>
      </text>
    </comment>
    <comment ref="T321" authorId="10" shapeId="0" xr:uid="{00000000-0006-0000-0000-000055010000}">
      <text>
        <r>
          <rPr>
            <b/>
            <sz val="9"/>
            <color indexed="81"/>
            <rFont val="Arial"/>
            <family val="2"/>
          </rPr>
          <t>John Iverson:</t>
        </r>
        <r>
          <rPr>
            <sz val="9"/>
            <color indexed="81"/>
            <rFont val="Arial"/>
            <family val="2"/>
          </rPr>
          <t xml:space="preserve">
remigration is ca. 2 yrs</t>
        </r>
      </text>
    </comment>
    <comment ref="I323" authorId="10" shapeId="0" xr:uid="{00000000-0006-0000-0000-000056010000}">
      <text>
        <r>
          <rPr>
            <b/>
            <sz val="9"/>
            <color indexed="81"/>
            <rFont val="Arial"/>
            <family val="2"/>
          </rPr>
          <t>John Iverson:</t>
        </r>
        <r>
          <rPr>
            <sz val="9"/>
            <color indexed="81"/>
            <rFont val="Arial"/>
            <family val="2"/>
          </rPr>
          <t xml:space="preserve">
curved CL = ca. 116, SCL estimated from equation in Eguchi et al. (2012)</t>
        </r>
      </text>
    </comment>
    <comment ref="J323" authorId="173" shapeId="0" xr:uid="{00000000-0006-0000-0000-000057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dataset using Pritchard 1969</t>
        </r>
      </text>
    </comment>
    <comment ref="J325" authorId="10" shapeId="0" xr:uid="{00000000-0006-0000-0000-000058010000}">
      <text>
        <r>
          <rPr>
            <b/>
            <sz val="9"/>
            <color indexed="81"/>
            <rFont val="Arial"/>
            <family val="2"/>
          </rPr>
          <t>John Iverson:</t>
        </r>
        <r>
          <rPr>
            <sz val="9"/>
            <color indexed="81"/>
            <rFont val="Arial"/>
            <family val="2"/>
          </rPr>
          <t xml:space="preserve">
estimated from BM-CL data in Meylan et al. 2011 BAMNH</t>
        </r>
      </text>
    </comment>
    <comment ref="T325" authorId="10" shapeId="0" xr:uid="{00000000-0006-0000-0000-000059010000}">
      <text>
        <r>
          <rPr>
            <b/>
            <sz val="9"/>
            <color indexed="81"/>
            <rFont val="Arial"/>
            <family val="2"/>
          </rPr>
          <t>John Iverson:</t>
        </r>
        <r>
          <rPr>
            <sz val="9"/>
            <color indexed="81"/>
            <rFont val="Arial"/>
            <family val="2"/>
          </rPr>
          <t xml:space="preserve">
remigration interval 2.86 years</t>
        </r>
      </text>
    </comment>
    <comment ref="T326" authorId="10" shapeId="0" xr:uid="{00000000-0006-0000-0000-00005A010000}">
      <text>
        <r>
          <rPr>
            <b/>
            <sz val="9"/>
            <color indexed="81"/>
            <rFont val="Arial"/>
            <family val="2"/>
          </rPr>
          <t>John Iverson:</t>
        </r>
        <r>
          <rPr>
            <sz val="9"/>
            <color indexed="81"/>
            <rFont val="Arial"/>
            <family val="2"/>
          </rPr>
          <t xml:space="preserve">
every 1.84 years</t>
        </r>
      </text>
    </comment>
    <comment ref="I327" authorId="10" shapeId="0" xr:uid="{00000000-0006-0000-0000-00005B010000}">
      <text>
        <r>
          <rPr>
            <b/>
            <sz val="9"/>
            <color indexed="81"/>
            <rFont val="Arial"/>
            <family val="2"/>
          </rPr>
          <t>John Iverson:</t>
        </r>
        <r>
          <rPr>
            <sz val="9"/>
            <color indexed="81"/>
            <rFont val="Arial"/>
            <family val="2"/>
          </rPr>
          <t xml:space="preserve">
curved CL = 82.0; SCL estimated from equation in Marcovaldi et al. 1999</t>
        </r>
      </text>
    </comment>
    <comment ref="J327" authorId="10" shapeId="0" xr:uid="{00000000-0006-0000-0000-00005C010000}">
      <text>
        <r>
          <rPr>
            <b/>
            <sz val="9"/>
            <color indexed="81"/>
            <rFont val="Arial"/>
            <family val="2"/>
          </rPr>
          <t>John Iverson:</t>
        </r>
        <r>
          <rPr>
            <sz val="9"/>
            <color indexed="81"/>
            <rFont val="Arial"/>
            <family val="2"/>
          </rPr>
          <t xml:space="preserve">
estimated from BM-CL data in Deraniyagala 1939; Hirth and Carr 1970; Pritchard 1969</t>
        </r>
      </text>
    </comment>
    <comment ref="P328" authorId="174" shapeId="0" xr:uid="{00000000-0006-0000-0000-00005D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(Sept 2020)</t>
        </r>
      </text>
    </comment>
    <comment ref="K329" authorId="10" shapeId="0" xr:uid="{00000000-0006-0000-0000-00005E010000}">
      <text>
        <r>
          <rPr>
            <b/>
            <sz val="9"/>
            <color indexed="81"/>
            <rFont val="Arial"/>
            <family val="2"/>
          </rPr>
          <t>John Iverson:</t>
        </r>
        <r>
          <rPr>
            <sz val="9"/>
            <color indexed="81"/>
            <rFont val="Arial"/>
            <family val="2"/>
          </rPr>
          <t xml:space="preserve">
based on Figure 5 growth curve</t>
        </r>
      </text>
    </comment>
    <comment ref="J331" authorId="10" shapeId="0" xr:uid="{00000000-0006-0000-0000-00005F010000}">
      <text>
        <r>
          <rPr>
            <b/>
            <sz val="9"/>
            <color indexed="81"/>
            <rFont val="Arial"/>
            <family val="2"/>
          </rPr>
          <t>John Iverson:</t>
        </r>
        <r>
          <rPr>
            <sz val="9"/>
            <color indexed="81"/>
            <rFont val="Arial"/>
            <family val="2"/>
          </rPr>
          <t xml:space="preserve">
spent BM = 50.4 kg. GBM estimated by adding CM to SBM</t>
        </r>
      </text>
    </comment>
    <comment ref="L331" authorId="10" shapeId="0" xr:uid="{00000000-0006-0000-0000-000060010000}">
      <text>
        <r>
          <rPr>
            <b/>
            <sz val="9"/>
            <color indexed="81"/>
            <rFont val="Arial"/>
            <family val="2"/>
          </rPr>
          <t>John Iverson:</t>
        </r>
        <r>
          <rPr>
            <sz val="9"/>
            <color indexed="81"/>
            <rFont val="Arial"/>
            <family val="2"/>
          </rPr>
          <t xml:space="preserve">
plus 0.11 yolkless egg per clutch</t>
        </r>
      </text>
    </comment>
    <comment ref="I332" authorId="10" shapeId="0" xr:uid="{00000000-0006-0000-0000-000061010000}">
      <text>
        <r>
          <rPr>
            <b/>
            <sz val="9"/>
            <color indexed="81"/>
            <rFont val="Arial"/>
            <family val="2"/>
          </rPr>
          <t>John Iverson:</t>
        </r>
        <r>
          <rPr>
            <sz val="9"/>
            <color indexed="81"/>
            <rFont val="Arial"/>
            <family val="2"/>
          </rPr>
          <t xml:space="preserve">
curved CL = 89.5; converted using Macrovaldi 1999</t>
        </r>
      </text>
    </comment>
    <comment ref="J332" authorId="10" shapeId="0" xr:uid="{00000000-0006-0000-0000-000062010000}">
      <text>
        <r>
          <rPr>
            <b/>
            <sz val="9"/>
            <color indexed="81"/>
            <rFont val="Arial"/>
            <family val="2"/>
          </rPr>
          <t>John Iverson:</t>
        </r>
        <r>
          <rPr>
            <sz val="9"/>
            <color indexed="81"/>
            <rFont val="Arial"/>
            <family val="2"/>
          </rPr>
          <t xml:space="preserve">
estimated from BM-CL data in Deraniyagala 1939; Hirth and Carr 1970; Pritchard 1969
</t>
        </r>
      </text>
    </comment>
    <comment ref="T332" authorId="10" shapeId="0" xr:uid="{00000000-0006-0000-0000-000063010000}">
      <text>
        <r>
          <rPr>
            <b/>
            <sz val="9"/>
            <color indexed="81"/>
            <rFont val="Arial"/>
            <family val="2"/>
          </rPr>
          <t>John Iverson:</t>
        </r>
        <r>
          <rPr>
            <sz val="9"/>
            <color indexed="81"/>
            <rFont val="Arial"/>
            <family val="2"/>
          </rPr>
          <t xml:space="preserve">
up to 5</t>
        </r>
      </text>
    </comment>
    <comment ref="N333" authorId="175" shapeId="0" xr:uid="{00000000-0006-0000-0000-00006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33-36 by taking median</t>
        </r>
      </text>
    </comment>
    <comment ref="O333" authorId="176" shapeId="0" xr:uid="{00000000-0006-0000-0000-00006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33-36 by taking median</t>
        </r>
      </text>
    </comment>
    <comment ref="T333" authorId="7" shapeId="0" xr:uid="{00000000-0006-0000-0000-000066010000}">
      <text>
        <r>
          <rPr>
            <b/>
            <sz val="9"/>
            <color indexed="81"/>
            <rFont val="Tahoma"/>
            <family val="2"/>
          </rPr>
          <t>JEnnen:</t>
        </r>
        <r>
          <rPr>
            <sz val="9"/>
            <color indexed="81"/>
            <rFont val="Tahoma"/>
            <family val="2"/>
          </rPr>
          <t xml:space="preserve">
4-5 reported</t>
        </r>
      </text>
    </comment>
    <comment ref="J334" authorId="177" shapeId="0" xr:uid="{00000000-0006-0000-0000-000067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10.2149*CL^1.962 Deraniyagala 1939; Hirth and Carr 1970; Pritchard 1969</t>
        </r>
      </text>
    </comment>
    <comment ref="L334" authorId="10" shapeId="0" xr:uid="{00000000-0006-0000-0000-000068010000}">
      <text>
        <r>
          <rPr>
            <b/>
            <sz val="9"/>
            <color indexed="81"/>
            <rFont val="Arial"/>
            <family val="2"/>
          </rPr>
          <t>John Iverson:</t>
        </r>
        <r>
          <rPr>
            <sz val="9"/>
            <color indexed="81"/>
            <rFont val="Arial"/>
            <family val="2"/>
          </rPr>
          <t xml:space="preserve">
plus 27.6 yolkless</t>
        </r>
      </text>
    </comment>
    <comment ref="P334" authorId="178" shapeId="0" xr:uid="{00000000-0006-0000-0000-00006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(Sept 2020)</t>
        </r>
      </text>
    </comment>
    <comment ref="I336" authorId="10" shapeId="0" xr:uid="{00000000-0006-0000-0000-00006A010000}">
      <text>
        <r>
          <rPr>
            <b/>
            <sz val="9"/>
            <color indexed="81"/>
            <rFont val="Arial"/>
            <family val="2"/>
          </rPr>
          <t>John Iverson:</t>
        </r>
        <r>
          <rPr>
            <sz val="9"/>
            <color indexed="81"/>
            <rFont val="Arial"/>
            <family val="2"/>
          </rPr>
          <t xml:space="preserve">
curved CL = 87.9; SCL estimated from equation in Marcovaldi et al. 1999</t>
        </r>
      </text>
    </comment>
    <comment ref="J336" authorId="179" shapeId="0" xr:uid="{00000000-0006-0000-0000-00006B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10.2149*CL^1.962 Deraniyagala 1939; Hirth and Carr 1970; Pritchard 1969</t>
        </r>
      </text>
    </comment>
    <comment ref="L336" authorId="10" shapeId="0" xr:uid="{00000000-0006-0000-0000-00006C010000}">
      <text>
        <r>
          <rPr>
            <b/>
            <sz val="9"/>
            <color indexed="81"/>
            <rFont val="Arial"/>
            <family val="2"/>
          </rPr>
          <t>John Iverson:</t>
        </r>
        <r>
          <rPr>
            <sz val="9"/>
            <color indexed="81"/>
            <rFont val="Arial"/>
            <family val="2"/>
          </rPr>
          <t xml:space="preserve">
includes record 276 eggs!</t>
        </r>
      </text>
    </comment>
    <comment ref="T336" authorId="10" shapeId="0" xr:uid="{00000000-0006-0000-0000-00006D010000}">
      <text>
        <r>
          <rPr>
            <b/>
            <sz val="9"/>
            <color indexed="81"/>
            <rFont val="Arial"/>
            <family val="2"/>
          </rPr>
          <t>John Iverson:</t>
        </r>
        <r>
          <rPr>
            <sz val="9"/>
            <color indexed="81"/>
            <rFont val="Arial"/>
            <family val="2"/>
          </rPr>
          <t xml:space="preserve">
remigration interval is 2.24 years</t>
        </r>
      </text>
    </comment>
    <comment ref="L337" authorId="10" shapeId="0" xr:uid="{00000000-0006-0000-0000-00006E010000}">
      <text>
        <r>
          <rPr>
            <b/>
            <sz val="9"/>
            <color indexed="81"/>
            <rFont val="Arial"/>
            <family val="2"/>
          </rPr>
          <t>John Iverson:</t>
        </r>
        <r>
          <rPr>
            <sz val="9"/>
            <color indexed="81"/>
            <rFont val="Arial"/>
            <family val="2"/>
          </rPr>
          <t xml:space="preserve">
includes 2.33 yolkless eggs per clutch</t>
        </r>
      </text>
    </comment>
    <comment ref="I338" authorId="10" shapeId="0" xr:uid="{00000000-0006-0000-0000-00006F010000}">
      <text>
        <r>
          <rPr>
            <b/>
            <sz val="9"/>
            <color indexed="81"/>
            <rFont val="Arial"/>
            <family val="2"/>
          </rPr>
          <t>John Iverson:</t>
        </r>
        <r>
          <rPr>
            <sz val="9"/>
            <color indexed="81"/>
            <rFont val="Arial"/>
            <family val="2"/>
          </rPr>
          <t xml:space="preserve">
curved CL = 81.7; SCL estimated from equation in Marcovaldi et al. 1999</t>
        </r>
      </text>
    </comment>
    <comment ref="J338" authorId="10" shapeId="0" xr:uid="{00000000-0006-0000-0000-000070010000}">
      <text>
        <r>
          <rPr>
            <b/>
            <sz val="9"/>
            <color indexed="81"/>
            <rFont val="Arial"/>
            <family val="2"/>
          </rPr>
          <t>John Iverson:</t>
        </r>
        <r>
          <rPr>
            <sz val="9"/>
            <color indexed="81"/>
            <rFont val="Arial"/>
            <family val="2"/>
          </rPr>
          <t xml:space="preserve">
spent BM = 50.3 kg; gravid  BM estimated by adding clutch mass</t>
        </r>
      </text>
    </comment>
    <comment ref="L338" authorId="10" shapeId="0" xr:uid="{00000000-0006-0000-0000-000071010000}">
      <text>
        <r>
          <rPr>
            <b/>
            <sz val="9"/>
            <color indexed="81"/>
            <rFont val="Arial"/>
            <family val="2"/>
          </rPr>
          <t>John Iverson:</t>
        </r>
        <r>
          <rPr>
            <sz val="9"/>
            <color indexed="81"/>
            <rFont val="Arial"/>
            <family val="2"/>
          </rPr>
          <t xml:space="preserve">
include 0.09 yolkless eggs per clutch</t>
        </r>
      </text>
    </comment>
    <comment ref="I339" authorId="10" shapeId="0" xr:uid="{00000000-0006-0000-0000-000072010000}">
      <text>
        <r>
          <rPr>
            <b/>
            <sz val="9"/>
            <color indexed="81"/>
            <rFont val="Arial"/>
            <family val="2"/>
          </rPr>
          <t>John Iverson:</t>
        </r>
        <r>
          <rPr>
            <sz val="9"/>
            <color indexed="81"/>
            <rFont val="Arial"/>
            <family val="2"/>
          </rPr>
          <t xml:space="preserve">
Curved CL = 97.4; CCL = 1.0534*SCL^0.9986</t>
        </r>
      </text>
    </comment>
    <comment ref="J339" authorId="180" shapeId="0" xr:uid="{00000000-0006-0000-0000-000073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Deraniyagala 1939; Hirth and Carr 1970; Pritchard 1969</t>
        </r>
      </text>
    </comment>
    <comment ref="J340" authorId="181" shapeId="0" xr:uid="{00000000-0006-0000-0000-00007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Deraniyagala 1939; Hirth and Carr 1970; Pritchard 1969</t>
        </r>
      </text>
    </comment>
    <comment ref="I341" authorId="10" shapeId="0" xr:uid="{00000000-0006-0000-0000-000075010000}">
      <text>
        <r>
          <rPr>
            <b/>
            <sz val="9"/>
            <color indexed="81"/>
            <rFont val="Arial"/>
            <family val="2"/>
          </rPr>
          <t>John Iverson:</t>
        </r>
        <r>
          <rPr>
            <sz val="9"/>
            <color indexed="81"/>
            <rFont val="Arial"/>
            <family val="2"/>
          </rPr>
          <t xml:space="preserve">
Curved CL = 76.0; SCL estimated from equation in Marcovaldi et al. 1999</t>
        </r>
      </text>
    </comment>
    <comment ref="J341" authorId="182" shapeId="0" xr:uid="{00000000-0006-0000-0000-000076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Deraniyagala 1939; Hirth and Carr 1970; Pritchard 1969 (Sept 2020)</t>
        </r>
      </text>
    </comment>
    <comment ref="J343" authorId="183" shapeId="0" xr:uid="{00000000-0006-0000-0000-000077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Deraniyagala 1939; Hirth and Carr 1970; Pritchard 1969 (Sept 2020)</t>
        </r>
      </text>
    </comment>
    <comment ref="L343" authorId="10" shapeId="0" xr:uid="{00000000-0006-0000-0000-000078010000}">
      <text>
        <r>
          <rPr>
            <b/>
            <sz val="9"/>
            <color indexed="81"/>
            <rFont val="Arial"/>
            <family val="2"/>
          </rPr>
          <t>John Iverson:</t>
        </r>
        <r>
          <rPr>
            <sz val="9"/>
            <color indexed="81"/>
            <rFont val="Arial"/>
            <family val="2"/>
          </rPr>
          <t xml:space="preserve">
plus 11.2  yolkless eggs</t>
        </r>
      </text>
    </comment>
    <comment ref="K344" authorId="10" shapeId="0" xr:uid="{00000000-0006-0000-0000-000079010000}">
      <text>
        <r>
          <rPr>
            <b/>
            <sz val="9"/>
            <color indexed="81"/>
            <rFont val="Arial"/>
            <family val="2"/>
          </rPr>
          <t>John Iverson:</t>
        </r>
        <r>
          <rPr>
            <sz val="9"/>
            <color indexed="81"/>
            <rFont val="Arial"/>
            <family val="2"/>
          </rPr>
          <t xml:space="preserve">
"17-22"</t>
        </r>
      </text>
    </comment>
    <comment ref="J345" authorId="10" shapeId="0" xr:uid="{00000000-0006-0000-0000-00007A010000}">
      <text>
        <r>
          <rPr>
            <b/>
            <sz val="9"/>
            <color indexed="81"/>
            <rFont val="Arial"/>
            <family val="2"/>
          </rPr>
          <t>John Iverson:</t>
        </r>
        <r>
          <rPr>
            <sz val="9"/>
            <color indexed="81"/>
            <rFont val="Arial"/>
            <family val="2"/>
          </rPr>
          <t xml:space="preserve">
estimated from BM-CL data in Deraniyagala 1939; Hirth and Carr 1970; Pritchard 1969</t>
        </r>
      </text>
    </comment>
    <comment ref="T345" authorId="10" shapeId="0" xr:uid="{00000000-0006-0000-0000-00007B010000}">
      <text>
        <r>
          <rPr>
            <b/>
            <sz val="9"/>
            <color indexed="81"/>
            <rFont val="Arial"/>
            <family val="2"/>
          </rPr>
          <t>John Iverson:</t>
        </r>
        <r>
          <rPr>
            <sz val="9"/>
            <color indexed="81"/>
            <rFont val="Arial"/>
            <family val="2"/>
          </rPr>
          <t xml:space="preserve">
remigration interval 2.9</t>
        </r>
      </text>
    </comment>
    <comment ref="L346" authorId="10" shapeId="0" xr:uid="{00000000-0006-0000-0000-00007C010000}">
      <text>
        <r>
          <rPr>
            <b/>
            <sz val="9"/>
            <color indexed="81"/>
            <rFont val="Arial"/>
            <family val="2"/>
          </rPr>
          <t>John Iverson:</t>
        </r>
        <r>
          <rPr>
            <sz val="9"/>
            <color indexed="81"/>
            <rFont val="Arial"/>
            <family val="2"/>
          </rPr>
          <t xml:space="preserve">
includes 0.055 yolkless eggs per clutch</t>
        </r>
      </text>
    </comment>
    <comment ref="T346" authorId="10" shapeId="0" xr:uid="{00000000-0006-0000-0000-00007D010000}">
      <text>
        <r>
          <rPr>
            <b/>
            <sz val="9"/>
            <color indexed="81"/>
            <rFont val="Arial"/>
            <family val="2"/>
          </rPr>
          <t>John Iverson:</t>
        </r>
        <r>
          <rPr>
            <sz val="9"/>
            <color indexed="81"/>
            <rFont val="Arial"/>
            <family val="2"/>
          </rPr>
          <t xml:space="preserve">
up to 6</t>
        </r>
      </text>
    </comment>
    <comment ref="K347" authorId="10" shapeId="0" xr:uid="{00000000-0006-0000-0000-00007E010000}">
      <text>
        <r>
          <rPr>
            <b/>
            <sz val="9"/>
            <color indexed="81"/>
            <rFont val="Arial"/>
            <family val="2"/>
          </rPr>
          <t>John Iverson:</t>
        </r>
        <r>
          <rPr>
            <sz val="9"/>
            <color indexed="81"/>
            <rFont val="Arial"/>
            <family val="2"/>
          </rPr>
          <t xml:space="preserve">
mean of 6  estimates using median values</t>
        </r>
      </text>
    </comment>
    <comment ref="K350" authorId="184" shapeId="0" xr:uid="{00000000-0006-0000-0000-00007F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'10+</t>
        </r>
      </text>
    </comment>
    <comment ref="J352" authorId="185" shapeId="0" xr:uid="{00000000-0006-0000-0000-000080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Chavez et al. 1967 in Hirth 1982</t>
        </r>
      </text>
    </comment>
    <comment ref="P352" authorId="186" shapeId="0" xr:uid="{00000000-0006-0000-0000-000081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marine sea turtle egg database using Caretta caretta (Sept 2020)</t>
        </r>
      </text>
    </comment>
    <comment ref="J353" authorId="10" shapeId="0" xr:uid="{00000000-0006-0000-0000-000082010000}">
      <text>
        <r>
          <rPr>
            <b/>
            <sz val="9"/>
            <color indexed="81"/>
            <rFont val="Arial"/>
            <family val="2"/>
          </rPr>
          <t>John Iverson:</t>
        </r>
        <r>
          <rPr>
            <sz val="9"/>
            <color indexed="81"/>
            <rFont val="Arial"/>
            <family val="2"/>
          </rPr>
          <t xml:space="preserve">
estimated from BM-CL data in Hirth 1982</t>
        </r>
      </text>
    </comment>
    <comment ref="T353" authorId="10" shapeId="0" xr:uid="{00000000-0006-0000-0000-000083010000}">
      <text>
        <r>
          <rPr>
            <b/>
            <sz val="9"/>
            <color indexed="81"/>
            <rFont val="Arial"/>
            <family val="2"/>
          </rPr>
          <t>John Iverson:</t>
        </r>
        <r>
          <rPr>
            <sz val="9"/>
            <color indexed="81"/>
            <rFont val="Arial"/>
            <family val="2"/>
          </rPr>
          <t xml:space="preserve">
remirgation interavl = 1.8</t>
        </r>
      </text>
    </comment>
    <comment ref="I355" authorId="10" shapeId="0" xr:uid="{00000000-0006-0000-0000-000084010000}">
      <text>
        <r>
          <rPr>
            <b/>
            <sz val="9"/>
            <color indexed="81"/>
            <rFont val="Arial"/>
            <family val="2"/>
          </rPr>
          <t>John Iverson:</t>
        </r>
        <r>
          <rPr>
            <sz val="9"/>
            <color indexed="81"/>
            <rFont val="Arial"/>
            <family val="2"/>
          </rPr>
          <t xml:space="preserve">
curved CL = 54.57; SCL estimated from equation in Cannon et al. (1994; NOAA)</t>
        </r>
      </text>
    </comment>
    <comment ref="K355" authorId="7" shapeId="0" xr:uid="{00000000-0006-0000-0000-000085010000}">
      <text>
        <r>
          <rPr>
            <b/>
            <sz val="9"/>
            <color indexed="81"/>
            <rFont val="Tahoma"/>
            <family val="2"/>
          </rPr>
          <t>JEnnen:</t>
        </r>
        <r>
          <rPr>
            <sz val="9"/>
            <color indexed="81"/>
            <rFont val="Tahoma"/>
            <family val="2"/>
          </rPr>
          <t xml:space="preserve">
5*-7 reported</t>
        </r>
      </text>
    </comment>
    <comment ref="L356" authorId="10" shapeId="0" xr:uid="{00000000-0006-0000-0000-000086010000}">
      <text>
        <r>
          <rPr>
            <b/>
            <sz val="9"/>
            <color indexed="81"/>
            <rFont val="Arial"/>
            <family val="2"/>
          </rPr>
          <t>John Iverson:</t>
        </r>
        <r>
          <rPr>
            <sz val="9"/>
            <color indexed="81"/>
            <rFont val="Arial"/>
            <family val="2"/>
          </rPr>
          <t xml:space="preserve">
includes 0-2 yolkless eggs</t>
        </r>
      </text>
    </comment>
    <comment ref="T357" authorId="10" shapeId="0" xr:uid="{00000000-0006-0000-0000-000087010000}">
      <text>
        <r>
          <rPr>
            <b/>
            <sz val="9"/>
            <color indexed="81"/>
            <rFont val="Arial"/>
            <family val="2"/>
          </rPr>
          <t>John Iverson:</t>
        </r>
        <r>
          <rPr>
            <sz val="9"/>
            <color indexed="81"/>
            <rFont val="Arial"/>
            <family val="2"/>
          </rPr>
          <t xml:space="preserve">
remigration = 1 year</t>
        </r>
      </text>
    </comment>
    <comment ref="L359" authorId="7" shapeId="0" xr:uid="{00000000-0006-0000-0000-000088010000}">
      <text>
        <r>
          <rPr>
            <b/>
            <sz val="9"/>
            <color indexed="81"/>
            <rFont val="Tahoma"/>
            <family val="2"/>
          </rPr>
          <t>JEnnen:</t>
        </r>
        <r>
          <rPr>
            <sz val="9"/>
            <color indexed="81"/>
            <rFont val="Tahoma"/>
            <family val="2"/>
          </rPr>
          <t xml:space="preserve">
60-169</t>
        </r>
      </text>
    </comment>
    <comment ref="J360" authorId="187" shapeId="0" xr:uid="{00000000-0006-0000-0000-00008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Pritchard 1969</t>
        </r>
      </text>
    </comment>
    <comment ref="T360" authorId="7" shapeId="0" xr:uid="{00000000-0006-0000-0000-00008A010000}">
      <text>
        <r>
          <rPr>
            <b/>
            <sz val="9"/>
            <color indexed="81"/>
            <rFont val="Tahoma"/>
            <family val="2"/>
          </rPr>
          <t>JEnnen:</t>
        </r>
        <r>
          <rPr>
            <sz val="9"/>
            <color indexed="81"/>
            <rFont val="Tahoma"/>
            <family val="2"/>
          </rPr>
          <t xml:space="preserve">
3-4 reported</t>
        </r>
      </text>
    </comment>
    <comment ref="L361" authorId="10" shapeId="0" xr:uid="{00000000-0006-0000-0000-00008B010000}">
      <text>
        <r>
          <rPr>
            <b/>
            <sz val="9"/>
            <color indexed="81"/>
            <rFont val="Arial"/>
            <family val="2"/>
          </rPr>
          <t>John Iverson:</t>
        </r>
        <r>
          <rPr>
            <sz val="9"/>
            <color indexed="81"/>
            <rFont val="Arial"/>
            <family val="2"/>
          </rPr>
          <t xml:space="preserve">
yolkless number not reported</t>
        </r>
      </text>
    </comment>
    <comment ref="J363" authorId="188" shapeId="0" xr:uid="{00000000-0006-0000-0000-00008C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Pritchard (1969) (Sept 2020)</t>
        </r>
      </text>
    </comment>
    <comment ref="T363" authorId="10" shapeId="0" xr:uid="{00000000-0006-0000-0000-00008D010000}">
      <text>
        <r>
          <rPr>
            <b/>
            <sz val="9"/>
            <color indexed="81"/>
            <rFont val="Arial"/>
            <family val="2"/>
          </rPr>
          <t>John Iverson:</t>
        </r>
        <r>
          <rPr>
            <sz val="9"/>
            <color indexed="81"/>
            <rFont val="Arial"/>
            <family val="2"/>
          </rPr>
          <t xml:space="preserve">
remigration interval 1 year!</t>
        </r>
      </text>
    </comment>
    <comment ref="J364" authorId="10" shapeId="0" xr:uid="{00000000-0006-0000-0000-00008E010000}">
      <text>
        <r>
          <rPr>
            <b/>
            <sz val="9"/>
            <color indexed="81"/>
            <rFont val="Arial"/>
            <family val="2"/>
          </rPr>
          <t>John Iverson:</t>
        </r>
        <r>
          <rPr>
            <sz val="9"/>
            <color indexed="81"/>
            <rFont val="Arial"/>
            <family val="2"/>
          </rPr>
          <t xml:space="preserve">
estimated from BM-CL data in Pritchard 1969</t>
        </r>
      </text>
    </comment>
    <comment ref="T364" authorId="10" shapeId="0" xr:uid="{00000000-0006-0000-0000-00008F010000}">
      <text>
        <r>
          <rPr>
            <b/>
            <sz val="9"/>
            <color indexed="81"/>
            <rFont val="Arial"/>
            <family val="2"/>
          </rPr>
          <t>John Iverson:</t>
        </r>
        <r>
          <rPr>
            <sz val="9"/>
            <color indexed="81"/>
            <rFont val="Arial"/>
            <family val="2"/>
          </rPr>
          <t xml:space="preserve">
remigration interval = 1.7</t>
        </r>
      </text>
    </comment>
    <comment ref="I366" authorId="189" shapeId="0" xr:uid="{00000000-0006-0000-0000-000090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John Iverson:
curved CL = 86.3; SCL estimated from equation in Hays 2001</t>
        </r>
      </text>
    </comment>
    <comment ref="T367" authorId="10" shapeId="0" xr:uid="{00000000-0006-0000-0000-000091010000}">
      <text>
        <r>
          <rPr>
            <b/>
            <sz val="9"/>
            <color indexed="81"/>
            <rFont val="Arial"/>
            <family val="2"/>
          </rPr>
          <t>John Iverson:</t>
        </r>
        <r>
          <rPr>
            <sz val="9"/>
            <color indexed="81"/>
            <rFont val="Arial"/>
            <family val="2"/>
          </rPr>
          <t xml:space="preserve">
mean remigration is 2.65 years</t>
        </r>
      </text>
    </comment>
    <comment ref="I369" authorId="10" shapeId="0" xr:uid="{00000000-0006-0000-0000-000092010000}">
      <text>
        <r>
          <rPr>
            <b/>
            <sz val="9"/>
            <color indexed="81"/>
            <rFont val="Arial"/>
            <family val="2"/>
          </rPr>
          <t>John Iverson:</t>
        </r>
        <r>
          <rPr>
            <sz val="9"/>
            <color indexed="81"/>
            <rFont val="Arial"/>
            <family val="2"/>
          </rPr>
          <t xml:space="preserve">
curved CL = 86.3; SCL estimated from equation in Hays 2001</t>
        </r>
      </text>
    </comment>
    <comment ref="T369" authorId="10" shapeId="0" xr:uid="{00000000-0006-0000-0000-000093010000}">
      <text>
        <r>
          <rPr>
            <b/>
            <sz val="9"/>
            <color indexed="81"/>
            <rFont val="Arial"/>
            <family val="2"/>
          </rPr>
          <t>John Iverson:</t>
        </r>
        <r>
          <rPr>
            <sz val="9"/>
            <color indexed="81"/>
            <rFont val="Arial"/>
            <family val="2"/>
          </rPr>
          <t xml:space="preserve">
mean remigration = 2.82 years</t>
        </r>
      </text>
    </comment>
    <comment ref="J370" authorId="10" shapeId="0" xr:uid="{00000000-0006-0000-0000-000094010000}">
      <text>
        <r>
          <rPr>
            <b/>
            <sz val="9"/>
            <color indexed="81"/>
            <rFont val="Arial"/>
            <family val="2"/>
          </rPr>
          <t>John Iverson:</t>
        </r>
        <r>
          <rPr>
            <sz val="9"/>
            <color indexed="81"/>
            <rFont val="Arial"/>
            <family val="2"/>
          </rPr>
          <t xml:space="preserve">
estimated from BM-CL data for Chelonia mydas from the South Pacific in Hirth 1982</t>
        </r>
      </text>
    </comment>
    <comment ref="T370" authorId="10" shapeId="0" xr:uid="{00000000-0006-0000-0000-000095010000}">
      <text>
        <r>
          <rPr>
            <b/>
            <sz val="9"/>
            <color indexed="81"/>
            <rFont val="Arial"/>
            <family val="2"/>
          </rPr>
          <t>John Iverson:</t>
        </r>
        <r>
          <rPr>
            <sz val="9"/>
            <color indexed="81"/>
            <rFont val="Arial"/>
            <family val="2"/>
          </rPr>
          <t xml:space="preserve">
remigration interval 2.65 years</t>
        </r>
      </text>
    </comment>
    <comment ref="G373" authorId="190" shapeId="0" xr:uid="{00000000-0006-0000-0000-000096010000}">
      <text>
        <r>
          <rPr>
            <sz val="10"/>
            <color rgb="FF000000"/>
            <rFont val="Arial"/>
            <family val="2"/>
          </rPr>
          <t xml:space="preserve">
Comment:
    estimated ca. 8</t>
        </r>
      </text>
    </comment>
    <comment ref="J373" authorId="10" shapeId="0" xr:uid="{00000000-0006-0000-0000-000097010000}">
      <text>
        <r>
          <rPr>
            <b/>
            <sz val="9"/>
            <color indexed="81"/>
            <rFont val="Arial"/>
            <family val="2"/>
          </rPr>
          <t>John Iverson:</t>
        </r>
        <r>
          <rPr>
            <sz val="9"/>
            <color indexed="81"/>
            <rFont val="Arial"/>
            <family val="2"/>
          </rPr>
          <t xml:space="preserve">
estimated from BM-CL data in Arango-Lozcano et al 2017</t>
        </r>
      </text>
    </comment>
    <comment ref="P373" authorId="10" shapeId="0" xr:uid="{00000000-0006-0000-0000-000098010000}">
      <text>
        <r>
          <rPr>
            <b/>
            <sz val="9"/>
            <color indexed="81"/>
            <rFont val="Arial"/>
            <family val="2"/>
          </rPr>
          <t>John Iverson:</t>
        </r>
        <r>
          <rPr>
            <sz val="9"/>
            <color indexed="81"/>
            <rFont val="Arial"/>
            <family val="2"/>
          </rPr>
          <t xml:space="preserve">
estimated from our egg data set for Macrochelys (July 2020)</t>
        </r>
      </text>
    </comment>
    <comment ref="L375" authorId="191" shapeId="0" xr:uid="{00000000-0006-0000-0000-00009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25</t>
        </r>
      </text>
    </comment>
    <comment ref="P375" authorId="192" shapeId="0" xr:uid="{00000000-0006-0000-0000-00009A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regressions using Macrochelys (Sept 2020)</t>
        </r>
      </text>
    </comment>
    <comment ref="I378" authorId="1" shapeId="0" xr:uid="{00000000-0006-0000-0000-00009B010000}">
      <text>
        <r>
          <rPr>
            <sz val="10"/>
            <color rgb="FF000000"/>
            <rFont val="Arial"/>
            <family val="2"/>
          </rPr>
          <t>Based on three females
	-Joshua Ennen</t>
        </r>
      </text>
    </comment>
    <comment ref="J383" authorId="10" shapeId="0" xr:uid="{00000000-0006-0000-0000-00009C010000}">
      <text>
        <r>
          <rPr>
            <b/>
            <sz val="9"/>
            <color indexed="81"/>
            <rFont val="Arial"/>
            <family val="2"/>
          </rPr>
          <t>John Iverson:</t>
        </r>
        <r>
          <rPr>
            <sz val="9"/>
            <color indexed="81"/>
            <rFont val="Arial"/>
            <family val="2"/>
          </rPr>
          <t xml:space="preserve">
estimated from BM-CL data in Lagler and Applegate 1943 as reported y Iverson 1984</t>
        </r>
      </text>
    </comment>
    <comment ref="N383" authorId="10" shapeId="0" xr:uid="{00000000-0006-0000-0000-00009D010000}">
      <text>
        <r>
          <rPr>
            <b/>
            <sz val="9"/>
            <color indexed="81"/>
            <rFont val="Arial"/>
            <family val="2"/>
          </rPr>
          <t>John Iverson:</t>
        </r>
        <r>
          <rPr>
            <sz val="9"/>
            <color indexed="81"/>
            <rFont val="Arial"/>
            <family val="2"/>
          </rPr>
          <t xml:space="preserve">
estimated from our egg data set</t>
        </r>
      </text>
    </comment>
    <comment ref="O383" authorId="10" shapeId="0" xr:uid="{00000000-0006-0000-0000-00009E010000}">
      <text>
        <r>
          <rPr>
            <b/>
            <sz val="9"/>
            <color indexed="81"/>
            <rFont val="Arial"/>
            <family val="2"/>
          </rPr>
          <t>John Iverson:</t>
        </r>
        <r>
          <rPr>
            <sz val="9"/>
            <color indexed="81"/>
            <rFont val="Arial"/>
            <family val="2"/>
          </rPr>
          <t xml:space="preserve">
estimated from our egg data set</t>
        </r>
      </text>
    </comment>
    <comment ref="J384" authorId="10" shapeId="0" xr:uid="{00000000-0006-0000-0000-00009F010000}">
      <text>
        <r>
          <rPr>
            <b/>
            <sz val="9"/>
            <color indexed="81"/>
            <rFont val="Arial"/>
            <family val="2"/>
          </rPr>
          <t>John Iverson:</t>
        </r>
        <r>
          <rPr>
            <sz val="9"/>
            <color indexed="81"/>
            <rFont val="Arial"/>
            <family val="2"/>
          </rPr>
          <t xml:space="preserve">
estimated from BM-CL data in Lagler and Applegate 1943 as reported y Iverson 1984</t>
        </r>
      </text>
    </comment>
    <comment ref="N384" authorId="10" shapeId="0" xr:uid="{00000000-0006-0000-0000-0000A0010000}">
      <text>
        <r>
          <rPr>
            <b/>
            <sz val="9"/>
            <color indexed="81"/>
            <rFont val="Arial"/>
            <family val="2"/>
          </rPr>
          <t>John Iverson:</t>
        </r>
        <r>
          <rPr>
            <sz val="9"/>
            <color indexed="81"/>
            <rFont val="Arial"/>
            <family val="2"/>
          </rPr>
          <t xml:space="preserve">
estimated from our egg data set</t>
        </r>
      </text>
    </comment>
    <comment ref="O384" authorId="10" shapeId="0" xr:uid="{00000000-0006-0000-0000-0000A1010000}">
      <text>
        <r>
          <rPr>
            <b/>
            <sz val="9"/>
            <color indexed="81"/>
            <rFont val="Arial"/>
            <family val="2"/>
          </rPr>
          <t>John Iverson:</t>
        </r>
        <r>
          <rPr>
            <sz val="9"/>
            <color indexed="81"/>
            <rFont val="Arial"/>
            <family val="2"/>
          </rPr>
          <t xml:space="preserve">
estimated from our egg data set</t>
        </r>
      </text>
    </comment>
    <comment ref="J387" authorId="11" shapeId="0" xr:uid="{00000000-0006-0000-0000-0000A2010000}">
      <text>
        <r>
          <rPr>
            <b/>
            <sz val="9"/>
            <color indexed="81"/>
            <rFont val="Tahoma"/>
            <family val="2"/>
          </rPr>
          <t>estimated from our BM-CL regression database in Lagler and Applegate 1943</t>
        </r>
      </text>
    </comment>
    <comment ref="K388" authorId="7" shapeId="0" xr:uid="{00000000-0006-0000-0000-0000A3010000}">
      <text>
        <r>
          <rPr>
            <b/>
            <sz val="9"/>
            <color indexed="81"/>
            <rFont val="Tahoma"/>
            <family val="2"/>
          </rPr>
          <t>JEnnen:</t>
        </r>
        <r>
          <rPr>
            <sz val="9"/>
            <color indexed="81"/>
            <rFont val="Tahoma"/>
            <family val="2"/>
          </rPr>
          <t xml:space="preserve">
11-16 reported</t>
        </r>
      </text>
    </comment>
    <comment ref="K391" authorId="7" shapeId="0" xr:uid="{00000000-0006-0000-0000-0000A4010000}">
      <text>
        <r>
          <rPr>
            <b/>
            <sz val="9"/>
            <color indexed="81"/>
            <rFont val="Tahoma"/>
            <family val="2"/>
          </rPr>
          <t>JEnnen:</t>
        </r>
        <r>
          <rPr>
            <sz val="9"/>
            <color indexed="81"/>
            <rFont val="Tahoma"/>
            <family val="2"/>
          </rPr>
          <t xml:space="preserve">
10-12 reported</t>
        </r>
      </text>
    </comment>
    <comment ref="T392" authorId="7" shapeId="0" xr:uid="{00000000-0006-0000-0000-0000A5010000}">
      <text>
        <r>
          <rPr>
            <b/>
            <sz val="9"/>
            <color indexed="81"/>
            <rFont val="Tahoma"/>
            <family val="2"/>
          </rPr>
          <t>JEnnen:</t>
        </r>
        <r>
          <rPr>
            <sz val="9"/>
            <color indexed="81"/>
            <rFont val="Tahoma"/>
            <family val="2"/>
          </rPr>
          <t xml:space="preserve">
2-4 reported</t>
        </r>
      </text>
    </comment>
    <comment ref="I398" authorId="193" shapeId="0" xr:uid="{00000000-0006-0000-0000-0000A6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Iverson unpub data from Indiana (Jan 2021)</t>
        </r>
      </text>
    </comment>
    <comment ref="J399" authorId="10" shapeId="0" xr:uid="{00000000-0006-0000-0000-0000A7010000}">
      <text>
        <r>
          <rPr>
            <b/>
            <sz val="9"/>
            <color indexed="81"/>
            <rFont val="Arial"/>
            <family val="2"/>
          </rPr>
          <t>John Iverson:</t>
        </r>
        <r>
          <rPr>
            <sz val="9"/>
            <color indexed="81"/>
            <rFont val="Arial"/>
            <family val="2"/>
          </rPr>
          <t xml:space="preserve">
estimated from BM-CL data in Lagler and Apllegate 1943 (calculated by Iverson 1984).</t>
        </r>
      </text>
    </comment>
    <comment ref="N401" authorId="194" shapeId="0" xr:uid="{00000000-0006-0000-0000-0000A8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01" authorId="195" shapeId="0" xr:uid="{00000000-0006-0000-0000-0000A9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N403" authorId="11" shapeId="0" xr:uid="{00000000-0006-0000-0000-0000AA010000}">
      <text>
        <r>
          <rPr>
            <b/>
            <sz val="9"/>
            <color indexed="81"/>
            <rFont val="Tahoma"/>
            <family val="2"/>
          </rPr>
          <t>TNACI:</t>
        </r>
        <r>
          <rPr>
            <sz val="9"/>
            <color indexed="81"/>
            <rFont val="Tahoma"/>
            <family val="2"/>
          </rPr>
          <t xml:space="preserve">
estimated from EM = 0.499EL + 0.706EW - 21.335 Iverson unpublished (July 2020)</t>
        </r>
      </text>
    </comment>
    <comment ref="J406" authorId="10" shapeId="0" xr:uid="{00000000-0006-0000-0000-0000AB010000}">
      <text>
        <r>
          <rPr>
            <b/>
            <sz val="9"/>
            <color indexed="81"/>
            <rFont val="Arial"/>
            <family val="2"/>
          </rPr>
          <t>John Iverson:</t>
        </r>
        <r>
          <rPr>
            <sz val="9"/>
            <color indexed="81"/>
            <rFont val="Arial"/>
            <family val="2"/>
          </rPr>
          <t xml:space="preserve">
estimated from BM-CL data in Iverson 1997</t>
        </r>
      </text>
    </comment>
    <comment ref="J407" authorId="10" shapeId="0" xr:uid="{00000000-0006-0000-0000-0000AC010000}">
      <text>
        <r>
          <rPr>
            <b/>
            <sz val="9"/>
            <color indexed="81"/>
            <rFont val="Arial"/>
            <family val="2"/>
          </rPr>
          <t>John Iverson:</t>
        </r>
        <r>
          <rPr>
            <sz val="9"/>
            <color indexed="81"/>
            <rFont val="Arial"/>
            <family val="2"/>
          </rPr>
          <t xml:space="preserve">
estimated from BM-CL data in Iverson 1997</t>
        </r>
      </text>
    </comment>
    <comment ref="G408" authorId="196" shapeId="0" xr:uid="{00000000-0006-0000-0000-0000AD010000}">
      <text>
        <r>
          <rPr>
            <sz val="10"/>
            <color rgb="FF000000"/>
            <rFont val="Arial"/>
            <family val="2"/>
          </rPr>
          <t xml:space="preserve">
Comment:
    estimated ca 41</t>
        </r>
      </text>
    </comment>
    <comment ref="N408" authorId="197" shapeId="0" xr:uid="{00000000-0006-0000-0000-0000AE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08" authorId="198" shapeId="0" xr:uid="{00000000-0006-0000-0000-0000AF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N409" authorId="199" shapeId="0" xr:uid="{00000000-0006-0000-0000-0000B0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09" authorId="200" shapeId="0" xr:uid="{00000000-0006-0000-0000-0000B1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J411" authorId="10" shapeId="0" xr:uid="{00000000-0006-0000-0000-0000B2010000}">
      <text>
        <r>
          <rPr>
            <b/>
            <sz val="9"/>
            <color indexed="81"/>
            <rFont val="Arial"/>
            <family val="2"/>
          </rPr>
          <t>John Iverson:</t>
        </r>
        <r>
          <rPr>
            <sz val="9"/>
            <color indexed="81"/>
            <rFont val="Arial"/>
            <family val="2"/>
          </rPr>
          <t xml:space="preserve">
estimated frm BM-CL data from Indiana by Iverson unpublished</t>
        </r>
      </text>
    </comment>
    <comment ref="L411" authorId="201" shapeId="0" xr:uid="{00000000-0006-0000-0000-0000B3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I412" authorId="10" shapeId="0" xr:uid="{00000000-0006-0000-0000-0000B4010000}">
      <text>
        <r>
          <rPr>
            <b/>
            <sz val="9"/>
            <color indexed="81"/>
            <rFont val="Arial"/>
            <family val="2"/>
          </rPr>
          <t>John Iverson:</t>
        </r>
        <r>
          <rPr>
            <sz val="9"/>
            <color indexed="81"/>
            <rFont val="Arial"/>
            <family val="2"/>
          </rPr>
          <t xml:space="preserve">
estimated from BM-CL data in Iverson et al. 1977</t>
        </r>
      </text>
    </comment>
    <comment ref="L412" authorId="202" shapeId="0" xr:uid="{00000000-0006-0000-0000-0000B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P412" authorId="10" shapeId="0" xr:uid="{00000000-0006-0000-0000-0000B6010000}">
      <text>
        <r>
          <rPr>
            <b/>
            <sz val="9"/>
            <color indexed="81"/>
            <rFont val="Arial"/>
            <family val="2"/>
          </rPr>
          <t>John Iverson:</t>
        </r>
        <r>
          <rPr>
            <sz val="9"/>
            <color indexed="81"/>
            <rFont val="Arial"/>
            <family val="2"/>
          </rPr>
          <t xml:space="preserve">
estimated from our egg data set (July 2020)</t>
        </r>
      </text>
    </comment>
    <comment ref="N413" authorId="203" shapeId="0" xr:uid="{00000000-0006-0000-0000-0000B7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13" authorId="204" shapeId="0" xr:uid="{00000000-0006-0000-0000-0000B8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J414" authorId="10" shapeId="0" xr:uid="{00000000-0006-0000-0000-0000B9010000}">
      <text>
        <r>
          <rPr>
            <b/>
            <sz val="9"/>
            <color indexed="81"/>
            <rFont val="Arial"/>
            <family val="2"/>
          </rPr>
          <t>John Iverson:</t>
        </r>
        <r>
          <rPr>
            <sz val="9"/>
            <color indexed="81"/>
            <rFont val="Arial"/>
            <family val="2"/>
          </rPr>
          <t xml:space="preserve">
estimated by Iverson 1997 Herpetologica</t>
        </r>
      </text>
    </comment>
    <comment ref="O414" authorId="205" shapeId="0" xr:uid="{00000000-0006-0000-0000-0000BA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(Sept 2020)</t>
        </r>
      </text>
    </comment>
    <comment ref="P414" authorId="10" shapeId="0" xr:uid="{00000000-0006-0000-0000-0000BB010000}">
      <text>
        <r>
          <rPr>
            <b/>
            <sz val="9"/>
            <color indexed="81"/>
            <rFont val="Arial"/>
            <family val="2"/>
          </rPr>
          <t>John Iverson:</t>
        </r>
        <r>
          <rPr>
            <sz val="9"/>
            <color indexed="81"/>
            <rFont val="Arial"/>
            <family val="2"/>
          </rPr>
          <t xml:space="preserve">
Estimated by Iverson 1997 Herpetologica</t>
        </r>
      </text>
    </comment>
    <comment ref="N419" authorId="206" shapeId="0" xr:uid="{00000000-0006-0000-0000-0000BC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19" authorId="207" shapeId="0" xr:uid="{00000000-0006-0000-0000-0000BD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I421" authorId="208" shapeId="0" xr:uid="{00000000-0006-0000-0000-0000BE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(Sept 2020) Iverson unpub.</t>
        </r>
      </text>
    </comment>
    <comment ref="N422" authorId="209" shapeId="0" xr:uid="{00000000-0006-0000-0000-0000BF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22" authorId="210" shapeId="0" xr:uid="{00000000-0006-0000-0000-0000C0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I423" authorId="211" shapeId="0" xr:uid="{00000000-0006-0000-0000-0000C1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Iverson unpub data from Indiana (Jan 2021)</t>
        </r>
      </text>
    </comment>
    <comment ref="J423" authorId="10" shapeId="0" xr:uid="{00000000-0006-0000-0000-0000C2010000}">
      <text>
        <r>
          <rPr>
            <b/>
            <sz val="9"/>
            <color indexed="81"/>
            <rFont val="Arial"/>
            <family val="2"/>
          </rPr>
          <t>John Iverson:</t>
        </r>
        <r>
          <rPr>
            <sz val="9"/>
            <color indexed="81"/>
            <rFont val="Arial"/>
            <family val="2"/>
          </rPr>
          <t xml:space="preserve">
calcualted from clutch mass and RCM reported in original apper</t>
        </r>
      </text>
    </comment>
    <comment ref="N423" authorId="212" shapeId="0" xr:uid="{00000000-0006-0000-0000-0000C3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23" authorId="213" shapeId="0" xr:uid="{00000000-0006-0000-0000-0000C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J424" authorId="10" shapeId="0" xr:uid="{00000000-0006-0000-0000-0000C5010000}">
      <text>
        <r>
          <rPr>
            <b/>
            <sz val="9"/>
            <color indexed="81"/>
            <rFont val="Arial"/>
            <family val="2"/>
          </rPr>
          <t>John Iverson:</t>
        </r>
        <r>
          <rPr>
            <sz val="9"/>
            <color indexed="81"/>
            <rFont val="Arial"/>
            <family val="2"/>
          </rPr>
          <t xml:space="preserve">
calculated from clutch mass and RCM in original paper</t>
        </r>
      </text>
    </comment>
    <comment ref="N424" authorId="214" shapeId="0" xr:uid="{00000000-0006-0000-0000-0000C6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O424" authorId="215" shapeId="0" xr:uid="{00000000-0006-0000-0000-0000C7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the egg database (Sept 2020)</t>
        </r>
      </text>
    </comment>
    <comment ref="N425" authorId="10" shapeId="0" xr:uid="{00000000-0006-0000-0000-0000C8010000}">
      <text>
        <r>
          <rPr>
            <b/>
            <sz val="9"/>
            <color indexed="81"/>
            <rFont val="Arial"/>
            <family val="2"/>
          </rPr>
          <t>John Iverson:</t>
        </r>
        <r>
          <rPr>
            <sz val="9"/>
            <color indexed="81"/>
            <rFont val="Arial"/>
            <family val="2"/>
          </rPr>
          <t xml:space="preserve">
estimated from Macrochelys eggs in our egg data base (July 2020)</t>
        </r>
      </text>
    </comment>
    <comment ref="O425" authorId="10" shapeId="0" xr:uid="{00000000-0006-0000-0000-0000C9010000}">
      <text>
        <r>
          <rPr>
            <b/>
            <sz val="9"/>
            <color indexed="81"/>
            <rFont val="Arial"/>
            <family val="2"/>
          </rPr>
          <t>John Iverson:</t>
        </r>
        <r>
          <rPr>
            <sz val="9"/>
            <color indexed="81"/>
            <rFont val="Arial"/>
            <family val="2"/>
          </rPr>
          <t xml:space="preserve">
estimated from Macrochelys eggs in our egg data base (july 2020)</t>
        </r>
      </text>
    </comment>
    <comment ref="G427" authorId="10" shapeId="0" xr:uid="{00000000-0006-0000-0000-0000CA010000}">
      <text>
        <r>
          <rPr>
            <b/>
            <sz val="9"/>
            <color indexed="81"/>
            <rFont val="Arial"/>
            <family val="2"/>
          </rPr>
          <t>John Iverson:</t>
        </r>
        <r>
          <rPr>
            <sz val="9"/>
            <color indexed="81"/>
            <rFont val="Arial"/>
            <family val="2"/>
          </rPr>
          <t xml:space="preserve">
two localities in paper: 30.29 and 31.63</t>
        </r>
      </text>
    </comment>
    <comment ref="I427" authorId="10" shapeId="0" xr:uid="{00000000-0006-0000-0000-0000CB010000}">
      <text>
        <r>
          <rPr>
            <b/>
            <sz val="9"/>
            <color indexed="81"/>
            <rFont val="Arial"/>
            <family val="2"/>
          </rPr>
          <t>John Iverson:</t>
        </r>
        <r>
          <rPr>
            <sz val="9"/>
            <color indexed="81"/>
            <rFont val="Arial"/>
            <family val="2"/>
          </rPr>
          <t xml:space="preserve">
estimated from Fig. 10 in paper</t>
        </r>
      </text>
    </comment>
    <comment ref="P427" authorId="10" shapeId="0" xr:uid="{00000000-0006-0000-0000-0000CC010000}">
      <text>
        <r>
          <rPr>
            <b/>
            <sz val="9"/>
            <color indexed="81"/>
            <rFont val="Arial"/>
            <family val="2"/>
          </rPr>
          <t>John Iverson:</t>
        </r>
        <r>
          <rPr>
            <sz val="9"/>
            <color indexed="81"/>
            <rFont val="Arial"/>
            <family val="2"/>
          </rPr>
          <t xml:space="preserve">
estimated from our egg data set (July 2020)</t>
        </r>
      </text>
    </comment>
    <comment ref="J428" authorId="216" shapeId="0" xr:uid="{00000000-0006-0000-0000-0000CD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15400 but this was spent BM; therefore we calculated BM by 15400+cluthc mass</t>
        </r>
      </text>
    </comment>
    <comment ref="N428" authorId="10" shapeId="0" xr:uid="{00000000-0006-0000-0000-0000CE010000}">
      <text>
        <r>
          <rPr>
            <b/>
            <sz val="9"/>
            <color indexed="81"/>
            <rFont val="Arial"/>
            <family val="2"/>
          </rPr>
          <t>John Iverson:</t>
        </r>
        <r>
          <rPr>
            <sz val="9"/>
            <color indexed="81"/>
            <rFont val="Arial"/>
            <family val="2"/>
          </rPr>
          <t xml:space="preserve">
estimated from our egg data set</t>
        </r>
      </text>
    </comment>
    <comment ref="O428" authorId="10" shapeId="0" xr:uid="{00000000-0006-0000-0000-0000CF010000}">
      <text>
        <r>
          <rPr>
            <b/>
            <sz val="9"/>
            <color indexed="81"/>
            <rFont val="Arial"/>
            <family val="2"/>
          </rPr>
          <t>John Iverson:</t>
        </r>
        <r>
          <rPr>
            <sz val="9"/>
            <color indexed="81"/>
            <rFont val="Arial"/>
            <family val="2"/>
          </rPr>
          <t xml:space="preserve">
estimated from our egg data set</t>
        </r>
      </text>
    </comment>
    <comment ref="J429" authorId="10" shapeId="0" xr:uid="{00000000-0006-0000-0000-0000D0010000}">
      <text>
        <r>
          <rPr>
            <b/>
            <sz val="9"/>
            <color indexed="81"/>
            <rFont val="Arial"/>
            <family val="2"/>
          </rPr>
          <t>John Iverson:</t>
        </r>
        <r>
          <rPr>
            <sz val="9"/>
            <color indexed="81"/>
            <rFont val="Arial"/>
            <family val="2"/>
          </rPr>
          <t xml:space="preserve">
estimated from BM-CL data in Trauth et al. 2016</t>
        </r>
      </text>
    </comment>
    <comment ref="P429" authorId="10" shapeId="0" xr:uid="{00000000-0006-0000-0000-0000D1010000}">
      <text>
        <r>
          <rPr>
            <b/>
            <sz val="9"/>
            <color indexed="81"/>
            <rFont val="Arial"/>
            <family val="2"/>
          </rPr>
          <t>John Iverson:</t>
        </r>
        <r>
          <rPr>
            <sz val="9"/>
            <color indexed="81"/>
            <rFont val="Arial"/>
            <family val="2"/>
          </rPr>
          <t xml:space="preserve">
data from Mike Ewert, pers.comm. to JBI (July 2020)</t>
        </r>
      </text>
    </comment>
    <comment ref="O430" authorId="10" shapeId="0" xr:uid="{00000000-0006-0000-0000-0000D2010000}">
      <text>
        <r>
          <rPr>
            <b/>
            <sz val="9"/>
            <color indexed="81"/>
            <rFont val="Arial"/>
            <family val="2"/>
          </rPr>
          <t>John Iverson:</t>
        </r>
        <r>
          <rPr>
            <sz val="9"/>
            <color indexed="81"/>
            <rFont val="Arial"/>
            <family val="2"/>
          </rPr>
          <t xml:space="preserve">
estimated from our egg data set</t>
        </r>
      </text>
    </comment>
    <comment ref="P430" authorId="10" shapeId="0" xr:uid="{00000000-0006-0000-0000-0000D3010000}">
      <text>
        <r>
          <rPr>
            <b/>
            <sz val="9"/>
            <color indexed="81"/>
            <rFont val="Arial"/>
            <family val="2"/>
          </rPr>
          <t>John Iverson:</t>
        </r>
        <r>
          <rPr>
            <sz val="9"/>
            <color indexed="81"/>
            <rFont val="Arial"/>
            <family val="2"/>
          </rPr>
          <t xml:space="preserve">
estimated from our egg data set (July 2020)</t>
        </r>
      </text>
    </comment>
    <comment ref="J432" authorId="217" shapeId="0" xr:uid="{00000000-0006-0000-0000-0000D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BM may be post-nesting</t>
        </r>
      </text>
    </comment>
    <comment ref="S432" authorId="218" shapeId="0" xr:uid="{00000000-0006-0000-0000-0000D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RCM low but match data in paper</t>
        </r>
      </text>
    </comment>
    <comment ref="F433" authorId="219" shapeId="0" xr:uid="{00000000-0006-0000-0000-0000D6010000}">
      <text>
        <r>
          <rPr>
            <sz val="10"/>
            <color rgb="FF000000"/>
            <rFont val="Arial"/>
            <family val="2"/>
          </rPr>
          <t xml:space="preserve">
Comment:
    Oklahoma</t>
        </r>
      </text>
    </comment>
    <comment ref="G433" authorId="220" shapeId="0" xr:uid="{00000000-0006-0000-0000-0000D7010000}">
      <text>
        <r>
          <rPr>
            <sz val="10"/>
            <color rgb="FF000000"/>
            <rFont val="Arial"/>
            <family val="2"/>
          </rPr>
          <t xml:space="preserve">
Comment:
    34.35</t>
        </r>
      </text>
    </comment>
    <comment ref="N433" authorId="11" shapeId="0" xr:uid="{00000000-0006-0000-0000-0000D8010000}">
      <text>
        <r>
          <rPr>
            <b/>
            <sz val="9"/>
            <color indexed="81"/>
            <rFont val="Tahoma"/>
            <family val="2"/>
          </rPr>
          <t>TNACI:</t>
        </r>
        <r>
          <rPr>
            <sz val="9"/>
            <color indexed="81"/>
            <rFont val="Tahoma"/>
            <family val="2"/>
          </rPr>
          <t xml:space="preserve">
estimated from egg data set (July 2020)</t>
        </r>
      </text>
    </comment>
    <comment ref="G434" authorId="10" shapeId="0" xr:uid="{00000000-0006-0000-0000-0000D9010000}">
      <text>
        <r>
          <rPr>
            <b/>
            <sz val="9"/>
            <color indexed="81"/>
            <rFont val="Arial"/>
            <family val="2"/>
          </rPr>
          <t>John Iverson:</t>
        </r>
        <r>
          <rPr>
            <sz val="9"/>
            <color indexed="81"/>
            <rFont val="Arial"/>
            <family val="2"/>
          </rPr>
          <t xml:space="preserve">
estimated</t>
        </r>
      </text>
    </comment>
    <comment ref="J434" authorId="10" shapeId="0" xr:uid="{00000000-0006-0000-0000-0000DA010000}">
      <text>
        <r>
          <rPr>
            <b/>
            <sz val="9"/>
            <color indexed="81"/>
            <rFont val="Arial"/>
            <family val="2"/>
          </rPr>
          <t>John Iverson:</t>
        </r>
        <r>
          <rPr>
            <sz val="9"/>
            <color indexed="81"/>
            <rFont val="Arial"/>
            <family val="2"/>
          </rPr>
          <t xml:space="preserve">
estimated from BM-CL data in Trauth et al. 2016</t>
        </r>
      </text>
    </comment>
    <comment ref="K434" authorId="7" shapeId="0" xr:uid="{00000000-0006-0000-0000-0000DB010000}">
      <text>
        <r>
          <rPr>
            <b/>
            <sz val="9"/>
            <color indexed="81"/>
            <rFont val="Tahoma"/>
            <family val="2"/>
          </rPr>
          <t>JEnnen:</t>
        </r>
        <r>
          <rPr>
            <sz val="9"/>
            <color indexed="81"/>
            <rFont val="Tahoma"/>
            <family val="2"/>
          </rPr>
          <t xml:space="preserve">
13-21 reported</t>
        </r>
      </text>
    </comment>
    <comment ref="N434" authorId="10" shapeId="0" xr:uid="{00000000-0006-0000-0000-0000DC010000}">
      <text>
        <r>
          <rPr>
            <b/>
            <sz val="9"/>
            <color indexed="81"/>
            <rFont val="Arial"/>
            <family val="2"/>
          </rPr>
          <t>John Iverson:</t>
        </r>
        <r>
          <rPr>
            <sz val="9"/>
            <color indexed="81"/>
            <rFont val="Arial"/>
            <family val="2"/>
          </rPr>
          <t xml:space="preserve">
based on Fig. 1 in paper</t>
        </r>
      </text>
    </comment>
    <comment ref="O434" authorId="10" shapeId="0" xr:uid="{00000000-0006-0000-0000-0000DD010000}">
      <text>
        <r>
          <rPr>
            <b/>
            <sz val="9"/>
            <color indexed="81"/>
            <rFont val="Arial"/>
            <family val="2"/>
          </rPr>
          <t>John Iverson:</t>
        </r>
        <r>
          <rPr>
            <sz val="9"/>
            <color indexed="81"/>
            <rFont val="Arial"/>
            <family val="2"/>
          </rPr>
          <t xml:space="preserve">
based on Fig. 1 in paper</t>
        </r>
      </text>
    </comment>
    <comment ref="P434" authorId="10" shapeId="0" xr:uid="{00000000-0006-0000-0000-0000DE010000}">
      <text>
        <r>
          <rPr>
            <b/>
            <sz val="9"/>
            <color indexed="81"/>
            <rFont val="Arial"/>
            <family val="2"/>
          </rPr>
          <t>John Iverson:</t>
        </r>
        <r>
          <rPr>
            <sz val="9"/>
            <color indexed="81"/>
            <rFont val="Arial"/>
            <family val="2"/>
          </rPr>
          <t xml:space="preserve">
estimated from our egg data set (July 2020)</t>
        </r>
      </text>
    </comment>
    <comment ref="J436" authorId="221" shapeId="0" xr:uid="{00000000-0006-0000-0000-0000DF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(Sept 2020)</t>
        </r>
      </text>
    </comment>
    <comment ref="I438" authorId="10" shapeId="0" xr:uid="{00000000-0006-0000-0000-0000E0010000}">
      <text>
        <r>
          <rPr>
            <b/>
            <sz val="9"/>
            <color indexed="81"/>
            <rFont val="Arial"/>
            <family val="2"/>
          </rPr>
          <t>John Iverson:</t>
        </r>
        <r>
          <rPr>
            <sz val="9"/>
            <color indexed="81"/>
            <rFont val="Arial"/>
            <family val="2"/>
          </rPr>
          <t xml:space="preserve">
Estimated from Figure 5</t>
        </r>
      </text>
    </comment>
    <comment ref="J438" authorId="222" shapeId="0" xr:uid="{00000000-0006-0000-0000-0000E1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(Sept 2020)</t>
        </r>
      </text>
    </comment>
    <comment ref="T438" authorId="7" shapeId="0" xr:uid="{00000000-0006-0000-0000-0000E2010000}">
      <text>
        <r>
          <rPr>
            <b/>
            <sz val="9"/>
            <color indexed="81"/>
            <rFont val="Tahoma"/>
            <family val="2"/>
          </rPr>
          <t>JEnnen:</t>
        </r>
        <r>
          <rPr>
            <sz val="9"/>
            <color indexed="81"/>
            <rFont val="Tahoma"/>
            <family val="2"/>
          </rPr>
          <t xml:space="preserve">
2.05 but up to 4</t>
        </r>
      </text>
    </comment>
    <comment ref="G439" authorId="1" shapeId="0" xr:uid="{00000000-0006-0000-0000-0000E3010000}">
      <text>
        <r>
          <rPr>
            <sz val="10"/>
            <color rgb="FF000000"/>
            <rFont val="Arial"/>
            <family val="2"/>
          </rPr>
          <t>estimated
	-Joshua Ennen</t>
        </r>
      </text>
    </comment>
    <comment ref="N439" authorId="223" shapeId="0" xr:uid="{00000000-0006-0000-0000-0000E4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0.532EL + 1.236EW - 24.642 Iverson unpublished data (July 2020)</t>
        </r>
      </text>
    </comment>
    <comment ref="K440" authorId="10" shapeId="0" xr:uid="{00000000-0006-0000-0000-0000E5010000}">
      <text>
        <r>
          <rPr>
            <b/>
            <sz val="9"/>
            <color indexed="81"/>
            <rFont val="Arial"/>
            <family val="2"/>
          </rPr>
          <t>John Iverson:</t>
        </r>
        <r>
          <rPr>
            <sz val="9"/>
            <color indexed="81"/>
            <rFont val="Arial"/>
            <family val="2"/>
          </rPr>
          <t xml:space="preserve">
average of 3 studies based on median values</t>
        </r>
      </text>
    </comment>
    <comment ref="I441" authorId="10" shapeId="0" xr:uid="{00000000-0006-0000-0000-0000E6010000}">
      <text>
        <r>
          <rPr>
            <b/>
            <sz val="9"/>
            <color indexed="81"/>
            <rFont val="Arial"/>
            <family val="2"/>
          </rPr>
          <t>John Iverson:</t>
        </r>
        <r>
          <rPr>
            <sz val="9"/>
            <color indexed="81"/>
            <rFont val="Arial"/>
            <family val="2"/>
          </rPr>
          <t xml:space="preserve">
curved CL = 151.5, SCL was estimated with 0.952</t>
        </r>
      </text>
    </comment>
    <comment ref="L441" authorId="10" shapeId="0" xr:uid="{00000000-0006-0000-0000-0000E7010000}">
      <text>
        <r>
          <rPr>
            <b/>
            <sz val="9"/>
            <color indexed="81"/>
            <rFont val="Arial"/>
            <family val="2"/>
          </rPr>
          <t>John Iverson:</t>
        </r>
        <r>
          <rPr>
            <sz val="9"/>
            <color indexed="81"/>
            <rFont val="Arial"/>
            <family val="2"/>
          </rPr>
          <t xml:space="preserve">
plus 36.4 yolkless eggs</t>
        </r>
      </text>
    </comment>
    <comment ref="T441" authorId="10" shapeId="0" xr:uid="{00000000-0006-0000-0000-0000E8010000}">
      <text>
        <r>
          <rPr>
            <b/>
            <sz val="9"/>
            <color indexed="81"/>
            <rFont val="Arial"/>
            <family val="2"/>
          </rPr>
          <t>John Iverson:</t>
        </r>
        <r>
          <rPr>
            <sz val="9"/>
            <color indexed="81"/>
            <rFont val="Arial"/>
            <family val="2"/>
          </rPr>
          <t xml:space="preserve">
remigration interval 2 years</t>
        </r>
      </text>
    </comment>
    <comment ref="J443" authorId="10" shapeId="0" xr:uid="{00000000-0006-0000-0000-0000E9010000}">
      <text>
        <r>
          <rPr>
            <b/>
            <sz val="9"/>
            <color indexed="81"/>
            <rFont val="Arial"/>
            <family val="2"/>
          </rPr>
          <t>John Iverson:</t>
        </r>
        <r>
          <rPr>
            <sz val="9"/>
            <color indexed="81"/>
            <rFont val="Arial"/>
            <family val="2"/>
          </rPr>
          <t xml:space="preserve">
estimated from the BM-CL data in Leslie et al. 1996</t>
        </r>
      </text>
    </comment>
    <comment ref="L443" authorId="10" shapeId="0" xr:uid="{00000000-0006-0000-0000-0000EA010000}">
      <text>
        <r>
          <rPr>
            <b/>
            <sz val="9"/>
            <color indexed="81"/>
            <rFont val="Arial"/>
            <family val="2"/>
          </rPr>
          <t>John Iverson:</t>
        </r>
        <r>
          <rPr>
            <sz val="9"/>
            <color indexed="81"/>
            <rFont val="Arial"/>
            <family val="2"/>
          </rPr>
          <t xml:space="preserve">
plus 28.4 yolkless eggs</t>
        </r>
      </text>
    </comment>
    <comment ref="P443" authorId="10" shapeId="0" xr:uid="{00000000-0006-0000-0000-0000EB010000}">
      <text>
        <r>
          <rPr>
            <b/>
            <sz val="9"/>
            <color indexed="81"/>
            <rFont val="Arial"/>
            <family val="2"/>
          </rPr>
          <t>John Iverson:</t>
        </r>
        <r>
          <rPr>
            <sz val="9"/>
            <color indexed="81"/>
            <rFont val="Arial"/>
            <family val="2"/>
          </rPr>
          <t xml:space="preserve">
estimated from the regression in Leslie et al (1996. CCB)</t>
        </r>
      </text>
    </comment>
    <comment ref="I445" authorId="10" shapeId="0" xr:uid="{00000000-0006-0000-0000-0000EC010000}">
      <text>
        <r>
          <rPr>
            <b/>
            <sz val="9"/>
            <color indexed="81"/>
            <rFont val="Arial"/>
            <family val="2"/>
          </rPr>
          <t>John Iverson:</t>
        </r>
        <r>
          <rPr>
            <sz val="9"/>
            <color indexed="81"/>
            <rFont val="Arial"/>
            <family val="2"/>
          </rPr>
          <t xml:space="preserve">
curved CL =147, SCL estimated with 0.952</t>
        </r>
      </text>
    </comment>
    <comment ref="J445" authorId="10" shapeId="0" xr:uid="{00000000-0006-0000-0000-0000ED010000}">
      <text>
        <r>
          <rPr>
            <b/>
            <sz val="9"/>
            <color indexed="81"/>
            <rFont val="Arial"/>
            <family val="2"/>
          </rPr>
          <t>John Iverson:</t>
        </r>
        <r>
          <rPr>
            <sz val="9"/>
            <color indexed="81"/>
            <rFont val="Arial"/>
            <family val="2"/>
          </rPr>
          <t xml:space="preserve">
estimated from the BM-CL data in Boulon et al. (1996 CCB)</t>
        </r>
      </text>
    </comment>
    <comment ref="L445" authorId="10" shapeId="0" xr:uid="{00000000-0006-0000-0000-0000EE010000}">
      <text>
        <r>
          <rPr>
            <b/>
            <sz val="9"/>
            <color indexed="81"/>
            <rFont val="Arial"/>
            <family val="2"/>
          </rPr>
          <t>John Iverson:</t>
        </r>
        <r>
          <rPr>
            <sz val="9"/>
            <color indexed="81"/>
            <rFont val="Arial"/>
            <family val="2"/>
          </rPr>
          <t xml:space="preserve">
plus 39.4 yolkless eggs</t>
        </r>
      </text>
    </comment>
    <comment ref="L446" authorId="10" shapeId="0" xr:uid="{00000000-0006-0000-0000-0000EF010000}">
      <text>
        <r>
          <rPr>
            <b/>
            <sz val="9"/>
            <color indexed="81"/>
            <rFont val="Arial"/>
            <family val="2"/>
          </rPr>
          <t>John Iverson:</t>
        </r>
        <r>
          <rPr>
            <sz val="9"/>
            <color indexed="81"/>
            <rFont val="Arial"/>
            <family val="2"/>
          </rPr>
          <t xml:space="preserve">
plus 19.22 yolkless eggs</t>
        </r>
      </text>
    </comment>
    <comment ref="T446" authorId="10" shapeId="0" xr:uid="{00000000-0006-0000-0000-0000F0010000}">
      <text>
        <r>
          <rPr>
            <b/>
            <sz val="9"/>
            <color indexed="81"/>
            <rFont val="Arial"/>
            <family val="2"/>
          </rPr>
          <t>John Iverson:</t>
        </r>
        <r>
          <rPr>
            <sz val="9"/>
            <color indexed="81"/>
            <rFont val="Arial"/>
            <family val="2"/>
          </rPr>
          <t xml:space="preserve">
remigration interval 1.95 years</t>
        </r>
      </text>
    </comment>
    <comment ref="G448" authorId="224" shapeId="0" xr:uid="{00000000-0006-0000-0000-0000F1010000}">
      <text>
        <r>
          <rPr>
            <sz val="10"/>
            <color rgb="FF000000"/>
            <rFont val="Arial"/>
            <family val="2"/>
          </rPr>
          <t xml:space="preserve">
Comment:
    estimated ca. 5-6</t>
        </r>
      </text>
    </comment>
    <comment ref="L448" authorId="10" shapeId="0" xr:uid="{00000000-0006-0000-0000-0000F2010000}">
      <text>
        <r>
          <rPr>
            <b/>
            <sz val="9"/>
            <color indexed="81"/>
            <rFont val="Arial"/>
            <family val="2"/>
          </rPr>
          <t>John Iverson:</t>
        </r>
        <r>
          <rPr>
            <sz val="9"/>
            <color indexed="81"/>
            <rFont val="Arial"/>
            <family val="2"/>
          </rPr>
          <t xml:space="preserve">
plus 30.2 yolkless eggs</t>
        </r>
      </text>
    </comment>
    <comment ref="K450" authorId="225" shapeId="0" xr:uid="{00000000-0006-0000-0000-0000F3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median value of 95% confidence interval of 55 to 70</t>
        </r>
      </text>
    </comment>
    <comment ref="I451" authorId="10" shapeId="0" xr:uid="{00000000-0006-0000-0000-0000F4010000}">
      <text>
        <r>
          <rPr>
            <b/>
            <sz val="9"/>
            <color indexed="81"/>
            <rFont val="Arial"/>
            <family val="2"/>
          </rPr>
          <t>John Iverson:</t>
        </r>
        <r>
          <rPr>
            <sz val="9"/>
            <color indexed="81"/>
            <rFont val="Arial"/>
            <family val="2"/>
          </rPr>
          <t xml:space="preserve">
Curved CL = 155.85 based on equation in Table 2
SCL estimated from 0.952</t>
        </r>
      </text>
    </comment>
    <comment ref="J451" authorId="226" shapeId="0" xr:uid="{00000000-0006-0000-0000-0000F5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in our database (Sept 2020) Boulon et al. 1996</t>
        </r>
      </text>
    </comment>
    <comment ref="L451" authorId="10" shapeId="0" xr:uid="{00000000-0006-0000-0000-0000F6010000}">
      <text>
        <r>
          <rPr>
            <b/>
            <sz val="9"/>
            <color indexed="81"/>
            <rFont val="Arial"/>
            <family val="2"/>
          </rPr>
          <t>John Iverson:</t>
        </r>
        <r>
          <rPr>
            <sz val="9"/>
            <color indexed="81"/>
            <rFont val="Arial"/>
            <family val="2"/>
          </rPr>
          <t xml:space="preserve">
plus 24.3 yolkless eggs</t>
        </r>
      </text>
    </comment>
    <comment ref="I452" authorId="10" shapeId="0" xr:uid="{00000000-0006-0000-0000-0000F7010000}">
      <text>
        <r>
          <rPr>
            <b/>
            <sz val="9"/>
            <color indexed="81"/>
            <rFont val="Arial"/>
            <family val="2"/>
          </rPr>
          <t>John Iverson:</t>
        </r>
        <r>
          <rPr>
            <sz val="9"/>
            <color indexed="81"/>
            <rFont val="Arial"/>
            <family val="2"/>
          </rPr>
          <t xml:space="preserve">
Curved CL = 154.8; SCL estimated from 0.952</t>
        </r>
      </text>
    </comment>
    <comment ref="J452" authorId="227" shapeId="0" xr:uid="{00000000-0006-0000-0000-0000F801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in our database (Sept 2020) Boulon et al. 1996</t>
        </r>
      </text>
    </comment>
    <comment ref="T452" authorId="7" shapeId="0" xr:uid="{00000000-0006-0000-0000-0000F9010000}">
      <text>
        <r>
          <rPr>
            <b/>
            <sz val="9"/>
            <color indexed="81"/>
            <rFont val="Tahoma"/>
            <family val="2"/>
          </rPr>
          <t>JEnnen:</t>
        </r>
        <r>
          <rPr>
            <sz val="9"/>
            <color indexed="81"/>
            <rFont val="Tahoma"/>
            <family val="2"/>
          </rPr>
          <t xml:space="preserve">
4-5 reported</t>
        </r>
      </text>
    </comment>
    <comment ref="I453" authorId="10" shapeId="0" xr:uid="{00000000-0006-0000-0000-0000FA010000}">
      <text>
        <r>
          <rPr>
            <b/>
            <sz val="9"/>
            <color indexed="81"/>
            <rFont val="Arial"/>
            <family val="2"/>
          </rPr>
          <t>John Iverson:</t>
        </r>
        <r>
          <rPr>
            <sz val="9"/>
            <color indexed="81"/>
            <rFont val="Arial"/>
            <family val="2"/>
          </rPr>
          <t xml:space="preserve">
Curved CL = 159.7</t>
        </r>
      </text>
    </comment>
    <comment ref="J453" authorId="10" shapeId="0" xr:uid="{00000000-0006-0000-0000-0000FB010000}">
      <text>
        <r>
          <rPr>
            <b/>
            <sz val="9"/>
            <color indexed="81"/>
            <rFont val="Arial"/>
            <family val="2"/>
          </rPr>
          <t>John Iverson:</t>
        </r>
        <r>
          <rPr>
            <sz val="9"/>
            <color indexed="81"/>
            <rFont val="Arial"/>
            <family val="2"/>
          </rPr>
          <t xml:space="preserve">
estimated from BM-CL data in Hirth 1982</t>
        </r>
      </text>
    </comment>
    <comment ref="L453" authorId="10" shapeId="0" xr:uid="{00000000-0006-0000-0000-0000FC010000}">
      <text>
        <r>
          <rPr>
            <b/>
            <sz val="9"/>
            <color indexed="81"/>
            <rFont val="Arial"/>
            <family val="2"/>
          </rPr>
          <t>John Iverson:</t>
        </r>
        <r>
          <rPr>
            <sz val="9"/>
            <color indexed="81"/>
            <rFont val="Arial"/>
            <family val="2"/>
          </rPr>
          <t xml:space="preserve">
plus 24.3 yolkless eggs</t>
        </r>
      </text>
    </comment>
    <comment ref="I454" authorId="10" shapeId="0" xr:uid="{00000000-0006-0000-0000-0000FD010000}">
      <text>
        <r>
          <rPr>
            <b/>
            <sz val="9"/>
            <color indexed="81"/>
            <rFont val="Arial"/>
            <family val="2"/>
          </rPr>
          <t>John Iverson:</t>
        </r>
        <r>
          <rPr>
            <sz val="9"/>
            <color indexed="81"/>
            <rFont val="Arial"/>
            <family val="2"/>
          </rPr>
          <t xml:space="preserve">
curved CL = 161.4; CL estimated</t>
        </r>
      </text>
    </comment>
    <comment ref="J454" authorId="10" shapeId="0" xr:uid="{00000000-0006-0000-0000-0000FE010000}">
      <text>
        <r>
          <rPr>
            <b/>
            <sz val="9"/>
            <color indexed="81"/>
            <rFont val="Arial"/>
            <family val="2"/>
          </rPr>
          <t>John Iverson:</t>
        </r>
        <r>
          <rPr>
            <sz val="9"/>
            <color indexed="81"/>
            <rFont val="Arial"/>
            <family val="2"/>
          </rPr>
          <t xml:space="preserve">
estimated from BM-CL data in Hirth 1982</t>
        </r>
      </text>
    </comment>
    <comment ref="L454" authorId="10" shapeId="0" xr:uid="{00000000-0006-0000-0000-0000FF010000}">
      <text>
        <r>
          <rPr>
            <b/>
            <sz val="9"/>
            <color indexed="81"/>
            <rFont val="Arial"/>
            <family val="2"/>
          </rPr>
          <t>John Iverson:</t>
        </r>
        <r>
          <rPr>
            <sz val="9"/>
            <color indexed="81"/>
            <rFont val="Arial"/>
            <family val="2"/>
          </rPr>
          <t xml:space="preserve">
plus unknown number of yolkless eggs</t>
        </r>
      </text>
    </comment>
    <comment ref="J455" authorId="10" shapeId="0" xr:uid="{00000000-0006-0000-0000-000000020000}">
      <text>
        <r>
          <rPr>
            <b/>
            <sz val="9"/>
            <color indexed="81"/>
            <rFont val="Arial"/>
            <family val="2"/>
          </rPr>
          <t>John Iverson:</t>
        </r>
        <r>
          <rPr>
            <sz val="9"/>
            <color indexed="81"/>
            <rFont val="Arial"/>
            <family val="2"/>
          </rPr>
          <t xml:space="preserve">
estimated from the BM-CL data in Leslie et al. 1996</t>
        </r>
      </text>
    </comment>
    <comment ref="T455" authorId="10" shapeId="0" xr:uid="{00000000-0006-0000-0000-000001020000}">
      <text>
        <r>
          <rPr>
            <b/>
            <sz val="9"/>
            <color indexed="81"/>
            <rFont val="Arial"/>
            <family val="2"/>
          </rPr>
          <t>John Iverson:</t>
        </r>
        <r>
          <rPr>
            <sz val="9"/>
            <color indexed="81"/>
            <rFont val="Arial"/>
            <family val="2"/>
          </rPr>
          <t xml:space="preserve">
reimigration interval two, sometimes 3 years</t>
        </r>
      </text>
    </comment>
    <comment ref="L456" authorId="10" shapeId="0" xr:uid="{00000000-0006-0000-0000-000002020000}">
      <text>
        <r>
          <rPr>
            <b/>
            <sz val="9"/>
            <color indexed="81"/>
            <rFont val="Arial"/>
            <family val="2"/>
          </rPr>
          <t>John Iverson:</t>
        </r>
        <r>
          <rPr>
            <sz val="9"/>
            <color indexed="81"/>
            <rFont val="Arial"/>
            <family val="2"/>
          </rPr>
          <t xml:space="preserve">
plus 43 yolkless eggs</t>
        </r>
      </text>
    </comment>
    <comment ref="I457" authorId="10" shapeId="0" xr:uid="{00000000-0006-0000-0000-000003020000}">
      <text>
        <r>
          <rPr>
            <b/>
            <sz val="9"/>
            <color indexed="81"/>
            <rFont val="Arial"/>
            <family val="2"/>
          </rPr>
          <t>John Iverson:</t>
        </r>
        <r>
          <rPr>
            <sz val="9"/>
            <color indexed="81"/>
            <rFont val="Arial"/>
            <family val="2"/>
          </rPr>
          <t xml:space="preserve">
Curved CL = 163.7; CL estimated</t>
        </r>
      </text>
    </comment>
    <comment ref="J457" authorId="10" shapeId="0" xr:uid="{00000000-0006-0000-0000-000004020000}">
      <text>
        <r>
          <rPr>
            <b/>
            <sz val="9"/>
            <color indexed="81"/>
            <rFont val="Arial"/>
            <family val="2"/>
          </rPr>
          <t>John Iverson:</t>
        </r>
        <r>
          <rPr>
            <sz val="9"/>
            <color indexed="81"/>
            <rFont val="Arial"/>
            <family val="2"/>
          </rPr>
          <t xml:space="preserve">
estimated from BM-CL data in Hirth 1982</t>
        </r>
      </text>
    </comment>
    <comment ref="L457" authorId="10" shapeId="0" xr:uid="{00000000-0006-0000-0000-000005020000}">
      <text>
        <r>
          <rPr>
            <b/>
            <sz val="9"/>
            <color indexed="81"/>
            <rFont val="Arial"/>
            <family val="2"/>
          </rPr>
          <t>John Iverson:</t>
        </r>
        <r>
          <rPr>
            <sz val="9"/>
            <color indexed="81"/>
            <rFont val="Arial"/>
            <family val="2"/>
          </rPr>
          <t xml:space="preserve">
plus 42.4</t>
        </r>
      </text>
    </comment>
    <comment ref="I458" authorId="10" shapeId="0" xr:uid="{00000000-0006-0000-0000-000006020000}">
      <text>
        <r>
          <rPr>
            <b/>
            <sz val="9"/>
            <color indexed="81"/>
            <rFont val="Arial"/>
            <family val="2"/>
          </rPr>
          <t>John Iverson:</t>
        </r>
        <r>
          <rPr>
            <sz val="9"/>
            <color indexed="81"/>
            <rFont val="Arial"/>
            <family val="2"/>
          </rPr>
          <t xml:space="preserve">
curved CL = 162.4; CL estimated</t>
        </r>
      </text>
    </comment>
    <comment ref="J458" authorId="10" shapeId="0" xr:uid="{00000000-0006-0000-0000-000007020000}">
      <text>
        <r>
          <rPr>
            <b/>
            <sz val="9"/>
            <color indexed="81"/>
            <rFont val="Arial"/>
            <family val="2"/>
          </rPr>
          <t>John Iverson:</t>
        </r>
        <r>
          <rPr>
            <sz val="9"/>
            <color indexed="81"/>
            <rFont val="Arial"/>
            <family val="2"/>
          </rPr>
          <t xml:space="preserve">
estimated from BM-CL data in Hirth 1982</t>
        </r>
      </text>
    </comment>
    <comment ref="L458" authorId="10" shapeId="0" xr:uid="{00000000-0006-0000-0000-000008020000}">
      <text>
        <r>
          <rPr>
            <b/>
            <sz val="9"/>
            <color indexed="81"/>
            <rFont val="Arial"/>
            <family val="2"/>
          </rPr>
          <t>John Iverson:</t>
        </r>
        <r>
          <rPr>
            <sz val="9"/>
            <color indexed="81"/>
            <rFont val="Arial"/>
            <family val="2"/>
          </rPr>
          <t xml:space="preserve">
plus 46.54 yolkless</t>
        </r>
      </text>
    </comment>
    <comment ref="P458" authorId="228" shapeId="0" xr:uid="{00000000-0006-0000-0000-000009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(August 2020)</t>
        </r>
      </text>
    </comment>
    <comment ref="J459" authorId="229" shapeId="0" xr:uid="{00000000-0006-0000-0000-00000A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Hirth 1982</t>
        </r>
      </text>
    </comment>
    <comment ref="J460" authorId="230" shapeId="0" xr:uid="{00000000-0006-0000-0000-00000B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Hirth 1982</t>
        </r>
      </text>
    </comment>
    <comment ref="I461" authorId="10" shapeId="0" xr:uid="{00000000-0006-0000-0000-00000C020000}">
      <text>
        <r>
          <rPr>
            <b/>
            <sz val="9"/>
            <color indexed="81"/>
            <rFont val="Arial"/>
            <family val="2"/>
          </rPr>
          <t>John Iverson:</t>
        </r>
        <r>
          <rPr>
            <sz val="9"/>
            <color indexed="81"/>
            <rFont val="Arial"/>
            <family val="2"/>
          </rPr>
          <t xml:space="preserve">
curved CL = 146.0; SCL estimated from 0.952</t>
        </r>
      </text>
    </comment>
    <comment ref="J461" authorId="231" shapeId="0" xr:uid="{00000000-0006-0000-0000-00000D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in our database (Sept 2020) Boulon et al. 1996</t>
        </r>
      </text>
    </comment>
    <comment ref="L461" authorId="10" shapeId="0" xr:uid="{00000000-0006-0000-0000-00000E020000}">
      <text>
        <r>
          <rPr>
            <b/>
            <sz val="9"/>
            <color indexed="81"/>
            <rFont val="Arial"/>
            <family val="2"/>
          </rPr>
          <t>John Iverson:</t>
        </r>
        <r>
          <rPr>
            <sz val="9"/>
            <color indexed="81"/>
            <rFont val="Arial"/>
            <family val="2"/>
          </rPr>
          <t xml:space="preserve">
plus 38.5 yolkless eggs</t>
        </r>
      </text>
    </comment>
    <comment ref="T461" authorId="10" shapeId="0" xr:uid="{00000000-0006-0000-0000-00000F020000}">
      <text>
        <r>
          <rPr>
            <b/>
            <sz val="9"/>
            <color indexed="81"/>
            <rFont val="Arial"/>
            <family val="2"/>
          </rPr>
          <t>John Iverson:</t>
        </r>
        <r>
          <rPr>
            <sz val="9"/>
            <color indexed="81"/>
            <rFont val="Arial"/>
            <family val="2"/>
          </rPr>
          <t xml:space="preserve">
remigration interval = 3.7 years</t>
        </r>
      </text>
    </comment>
    <comment ref="I462" authorId="10" shapeId="0" xr:uid="{00000000-0006-0000-0000-000010020000}">
      <text>
        <r>
          <rPr>
            <b/>
            <sz val="9"/>
            <color indexed="81"/>
            <rFont val="Arial"/>
            <family val="2"/>
          </rPr>
          <t>John Iverson:</t>
        </r>
        <r>
          <rPr>
            <sz val="9"/>
            <color indexed="81"/>
            <rFont val="Arial"/>
            <family val="2"/>
          </rPr>
          <t xml:space="preserve">
"150-165"</t>
        </r>
      </text>
    </comment>
    <comment ref="J462" authorId="10" shapeId="0" xr:uid="{00000000-0006-0000-0000-000011020000}">
      <text>
        <r>
          <rPr>
            <b/>
            <sz val="9"/>
            <color indexed="81"/>
            <rFont val="Arial"/>
            <family val="2"/>
          </rPr>
          <t>John Iverson:</t>
        </r>
        <r>
          <rPr>
            <sz val="9"/>
            <color indexed="81"/>
            <rFont val="Arial"/>
            <family val="2"/>
          </rPr>
          <t xml:space="preserve">
estimated from equation in Leslie et al. 1996 CCB.</t>
        </r>
      </text>
    </comment>
    <comment ref="L462" authorId="10" shapeId="0" xr:uid="{00000000-0006-0000-0000-000012020000}">
      <text>
        <r>
          <rPr>
            <b/>
            <sz val="9"/>
            <color indexed="81"/>
            <rFont val="Arial"/>
            <family val="2"/>
          </rPr>
          <t>John Iverson:</t>
        </r>
        <r>
          <rPr>
            <sz val="9"/>
            <color indexed="81"/>
            <rFont val="Arial"/>
            <family val="2"/>
          </rPr>
          <t xml:space="preserve">
plus 23 yolkless eggs</t>
        </r>
      </text>
    </comment>
    <comment ref="P462" authorId="232" shapeId="0" xr:uid="{00000000-0006-0000-0000-000013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(August 2020)</t>
        </r>
      </text>
    </comment>
    <comment ref="T462" authorId="10" shapeId="0" xr:uid="{00000000-0006-0000-0000-000014020000}">
      <text>
        <r>
          <rPr>
            <b/>
            <sz val="9"/>
            <color indexed="81"/>
            <rFont val="Arial"/>
            <family val="2"/>
          </rPr>
          <t>John Iverson:</t>
        </r>
        <r>
          <rPr>
            <sz val="9"/>
            <color indexed="81"/>
            <rFont val="Arial"/>
            <family val="2"/>
          </rPr>
          <t xml:space="preserve">
remigration = 2 years</t>
        </r>
      </text>
    </comment>
    <comment ref="J463" authorId="10" shapeId="0" xr:uid="{00000000-0006-0000-0000-000015020000}">
      <text>
        <r>
          <rPr>
            <b/>
            <sz val="9"/>
            <color indexed="81"/>
            <rFont val="Arial"/>
            <family val="2"/>
          </rPr>
          <t>John Iverson:</t>
        </r>
        <r>
          <rPr>
            <sz val="9"/>
            <color indexed="81"/>
            <rFont val="Arial"/>
            <family val="2"/>
          </rPr>
          <t xml:space="preserve">
estimated from the BM-CL data in Leslie et al. 1996</t>
        </r>
      </text>
    </comment>
    <comment ref="I464" authorId="10" shapeId="0" xr:uid="{00000000-0006-0000-0000-000016020000}">
      <text>
        <r>
          <rPr>
            <b/>
            <sz val="9"/>
            <color indexed="81"/>
            <rFont val="Arial"/>
            <family val="2"/>
          </rPr>
          <t>John Iverson:</t>
        </r>
        <r>
          <rPr>
            <sz val="9"/>
            <color indexed="81"/>
            <rFont val="Arial"/>
            <family val="2"/>
          </rPr>
          <t xml:space="preserve">
Curved CL = 159.8; SCL estimated from 0.952</t>
        </r>
      </text>
    </comment>
    <comment ref="J464" authorId="233" shapeId="0" xr:uid="{00000000-0006-0000-0000-000017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in our database (Sept 2020) Boulon et al. 1996</t>
        </r>
      </text>
    </comment>
    <comment ref="L464" authorId="10" shapeId="0" xr:uid="{00000000-0006-0000-0000-000018020000}">
      <text>
        <r>
          <rPr>
            <b/>
            <sz val="9"/>
            <color indexed="81"/>
            <rFont val="Arial"/>
            <family val="2"/>
          </rPr>
          <t>John Iverson:</t>
        </r>
        <r>
          <rPr>
            <sz val="9"/>
            <color indexed="81"/>
            <rFont val="Arial"/>
            <family val="2"/>
          </rPr>
          <t xml:space="preserve">
PLUS 22.1 yolkless eggs</t>
        </r>
      </text>
    </comment>
    <comment ref="J465" authorId="234" shapeId="0" xr:uid="{00000000-0006-0000-0000-000019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Leslie et al. 1996</t>
        </r>
      </text>
    </comment>
    <comment ref="L465" authorId="10" shapeId="0" xr:uid="{00000000-0006-0000-0000-00001A020000}">
      <text>
        <r>
          <rPr>
            <b/>
            <sz val="9"/>
            <color indexed="81"/>
            <rFont val="Arial"/>
            <family val="2"/>
          </rPr>
          <t>John Iverson:</t>
        </r>
        <r>
          <rPr>
            <sz val="9"/>
            <color indexed="81"/>
            <rFont val="Arial"/>
            <family val="2"/>
          </rPr>
          <t xml:space="preserve">
plus 31.6 yolkless eggs</t>
        </r>
      </text>
    </comment>
    <comment ref="T465" authorId="10" shapeId="0" xr:uid="{00000000-0006-0000-0000-00001B020000}">
      <text>
        <r>
          <rPr>
            <b/>
            <sz val="9"/>
            <color indexed="81"/>
            <rFont val="Arial"/>
            <family val="2"/>
          </rPr>
          <t>John Iverson:</t>
        </r>
        <r>
          <rPr>
            <sz val="9"/>
            <color indexed="81"/>
            <rFont val="Arial"/>
            <family val="2"/>
          </rPr>
          <t xml:space="preserve">
up to 10</t>
        </r>
      </text>
    </comment>
    <comment ref="J466" authorId="10" shapeId="0" xr:uid="{00000000-0006-0000-0000-00001C020000}">
      <text>
        <r>
          <rPr>
            <b/>
            <sz val="9"/>
            <color indexed="81"/>
            <rFont val="Arial"/>
            <family val="2"/>
          </rPr>
          <t>John Iverson:</t>
        </r>
        <r>
          <rPr>
            <sz val="9"/>
            <color indexed="81"/>
            <rFont val="Arial"/>
            <family val="2"/>
          </rPr>
          <t xml:space="preserve">
estimated from BM-CL data in Hirth 1982</t>
        </r>
      </text>
    </comment>
    <comment ref="T466" authorId="10" shapeId="0" xr:uid="{00000000-0006-0000-0000-00001D020000}">
      <text>
        <r>
          <rPr>
            <b/>
            <sz val="9"/>
            <color indexed="81"/>
            <rFont val="Arial"/>
            <family val="2"/>
          </rPr>
          <t>John Iverson:</t>
        </r>
        <r>
          <rPr>
            <sz val="9"/>
            <color indexed="81"/>
            <rFont val="Arial"/>
            <family val="2"/>
          </rPr>
          <t xml:space="preserve">
remigration rate = 1.7 years</t>
        </r>
      </text>
    </comment>
    <comment ref="I467" authorId="10" shapeId="0" xr:uid="{00000000-0006-0000-0000-00001E020000}">
      <text>
        <r>
          <rPr>
            <b/>
            <sz val="9"/>
            <color indexed="81"/>
            <rFont val="Arial"/>
            <family val="2"/>
          </rPr>
          <t>John Iverson:</t>
        </r>
        <r>
          <rPr>
            <sz val="9"/>
            <color indexed="81"/>
            <rFont val="Arial"/>
            <family val="2"/>
          </rPr>
          <t xml:space="preserve">
CL = 16.0-17.1 N = 4</t>
        </r>
      </text>
    </comment>
    <comment ref="J467" authorId="235" shapeId="0" xr:uid="{00000000-0006-0000-0000-00001F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18.222*10^(0.0102*CL) Germano 2016</t>
        </r>
      </text>
    </comment>
    <comment ref="M467" authorId="236" shapeId="0" xr:uid="{00000000-0006-0000-0000-000020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M468" authorId="237" shapeId="0" xr:uid="{00000000-0006-0000-0000-000021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M469" authorId="238" shapeId="0" xr:uid="{00000000-0006-0000-0000-000022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M470" authorId="239" shapeId="0" xr:uid="{00000000-0006-0000-0000-000023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M472" authorId="240" shapeId="0" xr:uid="{00000000-0006-0000-0000-000024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M473" authorId="241" shapeId="0" xr:uid="{00000000-0006-0000-0000-000025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J474" authorId="7" shapeId="0" xr:uid="{00000000-0006-0000-0000-000026020000}">
      <text>
        <r>
          <rPr>
            <b/>
            <sz val="9"/>
            <color indexed="81"/>
            <rFont val="Tahoma"/>
            <family val="2"/>
          </rPr>
          <t>JEnnen:</t>
        </r>
        <r>
          <rPr>
            <sz val="9"/>
            <color indexed="81"/>
            <rFont val="Tahoma"/>
            <family val="2"/>
          </rPr>
          <t xml:space="preserve">
estimated from our BM-CL regression database from Germano (2016) (Nov 2020)</t>
        </r>
      </text>
    </comment>
    <comment ref="K474" authorId="7" shapeId="0" xr:uid="{00000000-0006-0000-0000-000027020000}">
      <text>
        <r>
          <rPr>
            <b/>
            <sz val="9"/>
            <color indexed="81"/>
            <rFont val="Tahoma"/>
            <family val="2"/>
          </rPr>
          <t>JEnnen:</t>
        </r>
        <r>
          <rPr>
            <sz val="9"/>
            <color indexed="81"/>
            <rFont val="Tahoma"/>
            <family val="2"/>
          </rPr>
          <t xml:space="preserve">
14-17</t>
        </r>
      </text>
    </comment>
    <comment ref="M474" authorId="242" shapeId="0" xr:uid="{00000000-0006-0000-0000-000028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N474" authorId="7" shapeId="0" xr:uid="{00000000-0006-0000-0000-000029020000}">
      <text>
        <r>
          <rPr>
            <b/>
            <sz val="9"/>
            <color indexed="81"/>
            <rFont val="Tahoma"/>
            <family val="2"/>
          </rPr>
          <t>JEnnen:</t>
        </r>
        <r>
          <rPr>
            <sz val="9"/>
            <color indexed="81"/>
            <rFont val="Tahoma"/>
            <family val="2"/>
          </rPr>
          <t xml:space="preserve">
estimated from our egg regression database from egg elongation data in Lovich and Meyer 2002</t>
        </r>
      </text>
    </comment>
    <comment ref="P474" authorId="7" shapeId="0" xr:uid="{00000000-0006-0000-0000-00002A020000}">
      <text>
        <r>
          <rPr>
            <b/>
            <sz val="9"/>
            <color indexed="81"/>
            <rFont val="Tahoma"/>
            <family val="2"/>
          </rPr>
          <t>JEnnen:</t>
        </r>
        <r>
          <rPr>
            <sz val="9"/>
            <color indexed="81"/>
            <rFont val="Tahoma"/>
            <family val="2"/>
          </rPr>
          <t xml:space="preserve">
estiamted from our egg regression database using S. salvinii (Nov 2020)</t>
        </r>
      </text>
    </comment>
    <comment ref="K475" authorId="243" shapeId="0" xr:uid="{00000000-0006-0000-0000-00002B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10-12 repoted</t>
        </r>
      </text>
    </comment>
    <comment ref="M476" authorId="244" shapeId="0" xr:uid="{00000000-0006-0000-0000-00002C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P476" authorId="245" shapeId="0" xr:uid="{00000000-0006-0000-0000-00002D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for Staurotypus salvini, with eggs of same szie and also brittle-shelles (July 2020)</t>
        </r>
      </text>
    </comment>
    <comment ref="J477" authorId="246" shapeId="0" xr:uid="{00000000-0006-0000-0000-00002E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18.222*10^(0.0102*CL) Germano 2016</t>
        </r>
      </text>
    </comment>
    <comment ref="M477" authorId="247" shapeId="0" xr:uid="{00000000-0006-0000-0000-00002F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I478" authorId="248" shapeId="0" xr:uid="{00000000-0006-0000-0000-000030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28.2; estimated from PL/CL ratio 0.94769 Lubcke and Wilson (2007)
Reply:
    PL is actually 106</t>
        </r>
      </text>
    </comment>
    <comment ref="M478" authorId="249" shapeId="0" xr:uid="{00000000-0006-0000-0000-000031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T478" authorId="11" shapeId="0" xr:uid="{00000000-0006-0000-0000-000032020000}">
      <text>
        <r>
          <rPr>
            <b/>
            <sz val="9"/>
            <color indexed="81"/>
            <rFont val="Tahoma"/>
            <family val="2"/>
          </rPr>
          <t>TNACI:</t>
        </r>
        <r>
          <rPr>
            <sz val="9"/>
            <color indexed="81"/>
            <rFont val="Tahoma"/>
            <family val="2"/>
          </rPr>
          <t xml:space="preserve">
Repro Card says a guess.</t>
        </r>
      </text>
    </comment>
    <comment ref="M479" authorId="250" shapeId="0" xr:uid="{00000000-0006-0000-0000-000033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N479" authorId="251" shapeId="0" xr:uid="{00000000-0006-0000-0000-000034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using Staurotypus salvini (Sept 2020)</t>
        </r>
      </text>
    </comment>
    <comment ref="O479" authorId="10" shapeId="0" xr:uid="{00000000-0006-0000-0000-000035020000}">
      <text>
        <r>
          <rPr>
            <b/>
            <sz val="9"/>
            <color indexed="81"/>
            <rFont val="Arial"/>
            <family val="2"/>
          </rPr>
          <t>John Iverson:</t>
        </r>
        <r>
          <rPr>
            <sz val="9"/>
            <color indexed="81"/>
            <rFont val="Arial"/>
            <family val="2"/>
          </rPr>
          <t xml:space="preserve">
reay width</t>
        </r>
      </text>
    </comment>
    <comment ref="P479" authorId="252" shapeId="0" xr:uid="{00000000-0006-0000-0000-000036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using Staurotypus salvini (Sept 2020)</t>
        </r>
      </text>
    </comment>
    <comment ref="K480" authorId="253" shapeId="0" xr:uid="{00000000-0006-0000-0000-000037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6-7 in wild</t>
        </r>
      </text>
    </comment>
    <comment ref="O481" authorId="10" shapeId="0" xr:uid="{00000000-0006-0000-0000-000038020000}">
      <text>
        <r>
          <rPr>
            <b/>
            <sz val="9"/>
            <color indexed="81"/>
            <rFont val="Arial"/>
            <family val="2"/>
          </rPr>
          <t>John Iverson:</t>
        </r>
        <r>
          <rPr>
            <sz val="9"/>
            <color indexed="81"/>
            <rFont val="Arial"/>
            <family val="2"/>
          </rPr>
          <t xml:space="preserve">
xray EW = 21.8; EL = 37.04 (N = 1)</t>
        </r>
      </text>
    </comment>
    <comment ref="P481" authorId="254" shapeId="0" xr:uid="{00000000-0006-0000-0000-000039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using Staurotypus salvinii (August 2020)</t>
        </r>
      </text>
    </comment>
    <comment ref="M482" authorId="255" shapeId="0" xr:uid="{00000000-0006-0000-0000-00003A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Congdon and Gibbons (1985)</t>
        </r>
      </text>
    </comment>
    <comment ref="P488" authorId="10" shapeId="0" xr:uid="{00000000-0006-0000-0000-00003B020000}">
      <text>
        <r>
          <rPr>
            <b/>
            <sz val="9"/>
            <color indexed="81"/>
            <rFont val="Arial"/>
            <family val="2"/>
          </rPr>
          <t>John Iverson:</t>
        </r>
        <r>
          <rPr>
            <sz val="9"/>
            <color indexed="81"/>
            <rFont val="Arial"/>
            <family val="2"/>
          </rPr>
          <t xml:space="preserve">
estimated from our egg data set (July 2020)</t>
        </r>
      </text>
    </comment>
    <comment ref="I490" authorId="10" shapeId="0" xr:uid="{00000000-0006-0000-0000-00003C020000}">
      <text>
        <r>
          <rPr>
            <b/>
            <sz val="9"/>
            <color indexed="81"/>
            <rFont val="Arial"/>
            <family val="2"/>
          </rPr>
          <t>John Iverson:</t>
        </r>
        <r>
          <rPr>
            <sz val="9"/>
            <color indexed="81"/>
            <rFont val="Arial"/>
            <family val="2"/>
          </rPr>
          <t xml:space="preserve">
PL = 15.0 estimated from Fig. 3; CL estimated from PL/CL data in Zweifel 1989</t>
        </r>
      </text>
    </comment>
    <comment ref="J490" authorId="10" shapeId="0" xr:uid="{00000000-0006-0000-0000-00003D020000}">
      <text>
        <r>
          <rPr>
            <b/>
            <sz val="9"/>
            <color indexed="81"/>
            <rFont val="Arial"/>
            <family val="2"/>
          </rPr>
          <t>John Iverson:</t>
        </r>
        <r>
          <rPr>
            <sz val="9"/>
            <color indexed="81"/>
            <rFont val="Arial"/>
            <family val="2"/>
          </rPr>
          <t xml:space="preserve">
based on BM-PL data in Zweifel 1989</t>
        </r>
      </text>
    </comment>
    <comment ref="K490" authorId="7" shapeId="0" xr:uid="{00000000-0006-0000-0000-00003E020000}">
      <text>
        <r>
          <rPr>
            <b/>
            <sz val="9"/>
            <color indexed="81"/>
            <rFont val="Tahoma"/>
            <family val="2"/>
          </rPr>
          <t>JEnnen:</t>
        </r>
        <r>
          <rPr>
            <sz val="9"/>
            <color indexed="81"/>
            <rFont val="Tahoma"/>
            <family val="2"/>
          </rPr>
          <t xml:space="preserve">
7-11 reported</t>
        </r>
      </text>
    </comment>
    <comment ref="N490" authorId="10" shapeId="0" xr:uid="{00000000-0006-0000-0000-00003F020000}">
      <text>
        <r>
          <rPr>
            <b/>
            <sz val="9"/>
            <color indexed="81"/>
            <rFont val="Arial"/>
            <family val="2"/>
          </rPr>
          <t>John Iverson:</t>
        </r>
        <r>
          <rPr>
            <sz val="9"/>
            <color indexed="81"/>
            <rFont val="Arial"/>
            <family val="2"/>
          </rPr>
          <t xml:space="preserve">
calculated from Table 4 in original paper</t>
        </r>
      </text>
    </comment>
    <comment ref="O490" authorId="10" shapeId="0" xr:uid="{00000000-0006-0000-0000-000040020000}">
      <text>
        <r>
          <rPr>
            <b/>
            <sz val="9"/>
            <color indexed="81"/>
            <rFont val="Arial"/>
            <family val="2"/>
          </rPr>
          <t>John Iverson:</t>
        </r>
        <r>
          <rPr>
            <sz val="9"/>
            <color indexed="81"/>
            <rFont val="Arial"/>
            <family val="2"/>
          </rPr>
          <t xml:space="preserve">
estimated from equation in Fig. 3 in original paper</t>
        </r>
      </text>
    </comment>
    <comment ref="P490" authorId="10" shapeId="0" xr:uid="{00000000-0006-0000-0000-000041020000}">
      <text>
        <r>
          <rPr>
            <b/>
            <sz val="9"/>
            <color indexed="81"/>
            <rFont val="Arial"/>
            <family val="2"/>
          </rPr>
          <t>John Iverson:</t>
        </r>
        <r>
          <rPr>
            <sz val="9"/>
            <color indexed="81"/>
            <rFont val="Arial"/>
            <family val="2"/>
          </rPr>
          <t xml:space="preserve">
estinated from our egg data set using EW in original paper (July 2020)</t>
        </r>
      </text>
    </comment>
    <comment ref="G491" authorId="256" shapeId="0" xr:uid="{00000000-0006-0000-0000-000042020000}">
      <text>
        <r>
          <rPr>
            <sz val="10"/>
            <color rgb="FF000000"/>
            <rFont val="Arial"/>
            <family val="2"/>
          </rPr>
          <t xml:space="preserve">
Comment:
    estimated ca. 33.5</t>
        </r>
      </text>
    </comment>
    <comment ref="I491" authorId="10" shapeId="0" xr:uid="{00000000-0006-0000-0000-000043020000}">
      <text>
        <r>
          <rPr>
            <b/>
            <sz val="9"/>
            <color indexed="81"/>
            <rFont val="Arial"/>
            <family val="2"/>
          </rPr>
          <t>John Iverson:</t>
        </r>
        <r>
          <rPr>
            <sz val="9"/>
            <color indexed="81"/>
            <rFont val="Arial"/>
            <family val="2"/>
          </rPr>
          <t xml:space="preserve">
PL = 15.0; estimated CL from Iverson and Smith 1993; PL/CL = 0.9609</t>
        </r>
      </text>
    </comment>
    <comment ref="J491" authorId="10" shapeId="0" xr:uid="{00000000-0006-0000-0000-000044020000}">
      <text>
        <r>
          <rPr>
            <b/>
            <sz val="9"/>
            <color indexed="81"/>
            <rFont val="Arial"/>
            <family val="2"/>
          </rPr>
          <t>John Iverson:</t>
        </r>
        <r>
          <rPr>
            <sz val="9"/>
            <color indexed="81"/>
            <rFont val="Arial"/>
            <family val="2"/>
          </rPr>
          <t xml:space="preserve">
estimated from BM-CL data in Iverson and Smith 1993</t>
        </r>
      </text>
    </comment>
    <comment ref="P491" authorId="10" shapeId="0" xr:uid="{00000000-0006-0000-0000-000045020000}">
      <text>
        <r>
          <rPr>
            <b/>
            <sz val="9"/>
            <color indexed="81"/>
            <rFont val="Arial"/>
            <family val="2"/>
          </rPr>
          <t>John Iverson:</t>
        </r>
        <r>
          <rPr>
            <sz val="9"/>
            <color indexed="81"/>
            <rFont val="Arial"/>
            <family val="2"/>
          </rPr>
          <t xml:space="preserve">
estimated from our egg data set (July 2020)</t>
        </r>
      </text>
    </comment>
    <comment ref="T491" authorId="7" shapeId="0" xr:uid="{00000000-0006-0000-0000-000046020000}">
      <text>
        <r>
          <rPr>
            <b/>
            <sz val="9"/>
            <color indexed="81"/>
            <rFont val="Tahoma"/>
            <family val="2"/>
          </rPr>
          <t>JEnnen:</t>
        </r>
        <r>
          <rPr>
            <sz val="9"/>
            <color indexed="81"/>
            <rFont val="Tahoma"/>
            <family val="2"/>
          </rPr>
          <t xml:space="preserve">
1-2 reported</t>
        </r>
      </text>
    </comment>
    <comment ref="G492" authorId="257" shapeId="0" xr:uid="{00000000-0006-0000-0000-000047020000}">
      <text>
        <r>
          <rPr>
            <sz val="10"/>
            <color rgb="FF000000"/>
            <rFont val="Arial"/>
            <family val="2"/>
          </rPr>
          <t xml:space="preserve">
Comment:
    estimated ca. 47</t>
        </r>
      </text>
    </comment>
    <comment ref="I492" authorId="10" shapeId="0" xr:uid="{00000000-0006-0000-0000-000048020000}">
      <text>
        <r>
          <rPr>
            <b/>
            <sz val="9"/>
            <color indexed="81"/>
            <rFont val="Arial"/>
            <family val="2"/>
          </rPr>
          <t>John Iverson:</t>
        </r>
        <r>
          <rPr>
            <sz val="9"/>
            <color indexed="81"/>
            <rFont val="Arial"/>
            <family val="2"/>
          </rPr>
          <t xml:space="preserve">
PL = 15.4; estimated CL from Iverson and Smith 1993; PL/CL = 0.9609</t>
        </r>
      </text>
    </comment>
    <comment ref="J492" authorId="10" shapeId="0" xr:uid="{00000000-0006-0000-0000-000049020000}">
      <text>
        <r>
          <rPr>
            <b/>
            <sz val="9"/>
            <color indexed="81"/>
            <rFont val="Arial"/>
            <family val="2"/>
          </rPr>
          <t>John Iverson:</t>
        </r>
        <r>
          <rPr>
            <sz val="9"/>
            <color indexed="81"/>
            <rFont val="Arial"/>
            <family val="2"/>
          </rPr>
          <t xml:space="preserve">
estimated from BM-CL data in Iverson and Smith 1993</t>
        </r>
      </text>
    </comment>
    <comment ref="P492" authorId="10" shapeId="0" xr:uid="{00000000-0006-0000-0000-00004A020000}">
      <text>
        <r>
          <rPr>
            <b/>
            <sz val="9"/>
            <color indexed="81"/>
            <rFont val="Arial"/>
            <family val="2"/>
          </rPr>
          <t>John Iverson:</t>
        </r>
        <r>
          <rPr>
            <sz val="9"/>
            <color indexed="81"/>
            <rFont val="Arial"/>
            <family val="2"/>
          </rPr>
          <t xml:space="preserve">
estimated from our egg data set (July 2020)</t>
        </r>
      </text>
    </comment>
    <comment ref="T492" authorId="7" shapeId="0" xr:uid="{00000000-0006-0000-0000-00004B020000}">
      <text>
        <r>
          <rPr>
            <b/>
            <sz val="9"/>
            <color indexed="81"/>
            <rFont val="Tahoma"/>
            <family val="2"/>
          </rPr>
          <t>JEnnen:</t>
        </r>
        <r>
          <rPr>
            <sz val="9"/>
            <color indexed="81"/>
            <rFont val="Tahoma"/>
            <family val="2"/>
          </rPr>
          <t xml:space="preserve">
1-2 reported</t>
        </r>
      </text>
    </comment>
    <comment ref="I493" authorId="10" shapeId="0" xr:uid="{00000000-0006-0000-0000-00004C020000}">
      <text>
        <r>
          <rPr>
            <b/>
            <sz val="9"/>
            <color indexed="81"/>
            <rFont val="Arial"/>
            <family val="2"/>
          </rPr>
          <t>John Iverson:</t>
        </r>
        <r>
          <rPr>
            <sz val="9"/>
            <color indexed="81"/>
            <rFont val="Arial"/>
            <family val="2"/>
          </rPr>
          <t xml:space="preserve">
PL estimated from Figure 29 = 20.47; CL estimated from PL/CL ration in Iverson and Smith 1993: 0.9609</t>
        </r>
      </text>
    </comment>
    <comment ref="J493" authorId="10" shapeId="0" xr:uid="{00000000-0006-0000-0000-00004D020000}">
      <text>
        <r>
          <rPr>
            <b/>
            <sz val="9"/>
            <color indexed="81"/>
            <rFont val="Arial"/>
            <family val="2"/>
          </rPr>
          <t>John Iverson:</t>
        </r>
        <r>
          <rPr>
            <sz val="9"/>
            <color indexed="81"/>
            <rFont val="Arial"/>
            <family val="2"/>
          </rPr>
          <t xml:space="preserve">
estimated from our BM-CL data set from Iverson 1984</t>
        </r>
      </text>
    </comment>
    <comment ref="L493" authorId="10" shapeId="0" xr:uid="{00000000-0006-0000-0000-00004E020000}">
      <text>
        <r>
          <rPr>
            <b/>
            <sz val="9"/>
            <color indexed="81"/>
            <rFont val="Arial"/>
            <family val="2"/>
          </rPr>
          <t>John Iverson:</t>
        </r>
        <r>
          <rPr>
            <sz val="9"/>
            <color indexed="81"/>
            <rFont val="Arial"/>
            <family val="2"/>
          </rPr>
          <t xml:space="preserve">
estimated from Fig. 29 </t>
        </r>
      </text>
    </comment>
    <comment ref="P493" authorId="10" shapeId="0" xr:uid="{00000000-0006-0000-0000-00004F020000}">
      <text>
        <r>
          <rPr>
            <b/>
            <sz val="9"/>
            <color indexed="81"/>
            <rFont val="Arial"/>
            <family val="2"/>
          </rPr>
          <t>John Iverson:</t>
        </r>
        <r>
          <rPr>
            <sz val="9"/>
            <color indexed="81"/>
            <rFont val="Arial"/>
            <family val="2"/>
          </rPr>
          <t xml:space="preserve">
egg data from our egg data set for Reelfoot 
Lake</t>
        </r>
      </text>
    </comment>
    <comment ref="D494" authorId="258" shapeId="0" xr:uid="{00000000-0006-0000-0000-000050020000}">
      <text>
        <r>
          <rPr>
            <sz val="10"/>
            <color rgb="FF000000"/>
            <rFont val="Arial"/>
            <family val="2"/>
          </rPr>
          <t xml:space="preserve">
Comment:
    listed as C. picta dorsalis in the publication.</t>
        </r>
      </text>
    </comment>
    <comment ref="I494" authorId="1" shapeId="0" xr:uid="{00000000-0006-0000-0000-000051020000}">
      <text>
        <r>
          <rPr>
            <sz val="10"/>
            <color rgb="FF000000"/>
            <rFont val="Arial"/>
            <family val="2"/>
          </rPr>
          <t>Iverson estimated from regression
	-Joshua Ennen</t>
        </r>
      </text>
    </comment>
    <comment ref="J494" authorId="10" shapeId="0" xr:uid="{00000000-0006-0000-0000-000052020000}">
      <text>
        <r>
          <rPr>
            <b/>
            <sz val="9"/>
            <color indexed="81"/>
            <rFont val="Arial"/>
            <family val="2"/>
          </rPr>
          <t>John Iverson:</t>
        </r>
        <r>
          <rPr>
            <sz val="9"/>
            <color indexed="81"/>
            <rFont val="Arial"/>
            <family val="2"/>
          </rPr>
          <t xml:space="preserve">
estimated from BM-CL data for Indiana C. picta from Iverson 1994</t>
        </r>
      </text>
    </comment>
    <comment ref="I495" authorId="259" shapeId="0" xr:uid="{00000000-0006-0000-0000-000053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PL = 18.3 using Iverson and Smith conversion (96.1%)</t>
        </r>
      </text>
    </comment>
    <comment ref="I498" authorId="10" shapeId="0" xr:uid="{00000000-0006-0000-0000-000054020000}">
      <text>
        <r>
          <rPr>
            <b/>
            <sz val="9"/>
            <color indexed="81"/>
            <rFont val="Arial"/>
            <family val="2"/>
          </rPr>
          <t>John Iverson:</t>
        </r>
        <r>
          <rPr>
            <sz val="9"/>
            <color indexed="81"/>
            <rFont val="Arial"/>
            <family val="2"/>
          </rPr>
          <t xml:space="preserve">
Mean PL = 12.9786; CL estimated from mean PL/CL for 0.93518 based on 63 Indiana females</t>
        </r>
      </text>
    </comment>
    <comment ref="J498" authorId="10" shapeId="0" xr:uid="{00000000-0006-0000-0000-000055020000}">
      <text>
        <r>
          <rPr>
            <b/>
            <sz val="9"/>
            <color indexed="81"/>
            <rFont val="Arial"/>
            <family val="2"/>
          </rPr>
          <t>John Iverson:</t>
        </r>
        <r>
          <rPr>
            <sz val="9"/>
            <color indexed="81"/>
            <rFont val="Arial"/>
            <family val="2"/>
          </rPr>
          <t xml:space="preserve">
estimated from BM-CL data for Indiana C. picta from Iverson 1994</t>
        </r>
      </text>
    </comment>
    <comment ref="J499" authorId="10" shapeId="0" xr:uid="{00000000-0006-0000-0000-000056020000}">
      <text>
        <r>
          <rPr>
            <b/>
            <sz val="9"/>
            <color indexed="81"/>
            <rFont val="Arial"/>
            <family val="2"/>
          </rPr>
          <t>John Iverson:</t>
        </r>
        <r>
          <rPr>
            <sz val="9"/>
            <color indexed="81"/>
            <rFont val="Arial"/>
            <family val="2"/>
          </rPr>
          <t xml:space="preserve">
estimated from BM-CL data for Indiana C. picta from Iverson 1994</t>
        </r>
      </text>
    </comment>
    <comment ref="K499" authorId="7" shapeId="0" xr:uid="{00000000-0006-0000-0000-000057020000}">
      <text>
        <r>
          <rPr>
            <b/>
            <sz val="9"/>
            <color indexed="81"/>
            <rFont val="Tahoma"/>
            <family val="2"/>
          </rPr>
          <t>JEnnen:</t>
        </r>
        <r>
          <rPr>
            <sz val="9"/>
            <color indexed="81"/>
            <rFont val="Tahoma"/>
            <family val="2"/>
          </rPr>
          <t xml:space="preserve">
7-12 reported</t>
        </r>
      </text>
    </comment>
    <comment ref="T499" authorId="7" shapeId="0" xr:uid="{00000000-0006-0000-0000-000058020000}">
      <text>
        <r>
          <rPr>
            <b/>
            <sz val="9"/>
            <color indexed="81"/>
            <rFont val="Tahoma"/>
            <family val="2"/>
          </rPr>
          <t>JEnnen:</t>
        </r>
        <r>
          <rPr>
            <sz val="9"/>
            <color indexed="81"/>
            <rFont val="Tahoma"/>
            <family val="2"/>
          </rPr>
          <t xml:space="preserve">
1-2 reported</t>
        </r>
      </text>
    </comment>
    <comment ref="I500" authorId="10" shapeId="0" xr:uid="{00000000-0006-0000-0000-000059020000}">
      <text>
        <r>
          <rPr>
            <b/>
            <sz val="9"/>
            <color indexed="81"/>
            <rFont val="Arial"/>
            <family val="2"/>
          </rPr>
          <t>John Iverson:</t>
        </r>
        <r>
          <rPr>
            <sz val="9"/>
            <color indexed="81"/>
            <rFont val="Arial"/>
            <family val="2"/>
          </rPr>
          <t xml:space="preserve">
Mean PL = 12.03; CL estimated from mean PL/CL for 0.93518 based on 63 Indiana females</t>
        </r>
      </text>
    </comment>
    <comment ref="I501" authorId="10" shapeId="0" xr:uid="{00000000-0006-0000-0000-00005A020000}">
      <text>
        <r>
          <rPr>
            <b/>
            <sz val="9"/>
            <color indexed="81"/>
            <rFont val="Arial"/>
            <family val="2"/>
          </rPr>
          <t>John Iverson:</t>
        </r>
        <r>
          <rPr>
            <sz val="9"/>
            <color indexed="81"/>
            <rFont val="Arial"/>
            <family val="2"/>
          </rPr>
          <t xml:space="preserve">
Mean PL = 13.05; CL estimated from mean PL/CL for 0.93518 based on 63 Indiana females</t>
        </r>
      </text>
    </comment>
    <comment ref="J501" authorId="10" shapeId="0" xr:uid="{00000000-0006-0000-0000-00005B020000}">
      <text>
        <r>
          <rPr>
            <b/>
            <sz val="9"/>
            <color indexed="81"/>
            <rFont val="Arial"/>
            <family val="2"/>
          </rPr>
          <t>John Iverson:</t>
        </r>
        <r>
          <rPr>
            <sz val="9"/>
            <color indexed="81"/>
            <rFont val="Arial"/>
            <family val="2"/>
          </rPr>
          <t xml:space="preserve">
estimated from BM-CL data for Indiana C. picta from Iverson 1994</t>
        </r>
      </text>
    </comment>
    <comment ref="I502" authorId="10" shapeId="0" xr:uid="{00000000-0006-0000-0000-00005C020000}">
      <text>
        <r>
          <rPr>
            <b/>
            <sz val="9"/>
            <color indexed="81"/>
            <rFont val="Arial"/>
            <family val="2"/>
          </rPr>
          <t>John Iverson:</t>
        </r>
        <r>
          <rPr>
            <sz val="9"/>
            <color indexed="81"/>
            <rFont val="Arial"/>
            <family val="2"/>
          </rPr>
          <t xml:space="preserve">
Mean PL = 13.61; CL estimated from mean PL/CL for 0.93518 based on 63 Indiana females</t>
        </r>
      </text>
    </comment>
    <comment ref="J507" authorId="260" shapeId="0" xr:uid="{00000000-0006-0000-0000-00005D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0.2823*CL^2.681 Iverson 1984</t>
        </r>
      </text>
    </comment>
    <comment ref="P509" authorId="261" shapeId="0" xr:uid="{00000000-0006-0000-0000-00005E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set (July 2020)</t>
        </r>
      </text>
    </comment>
    <comment ref="I510" authorId="10" shapeId="0" xr:uid="{00000000-0006-0000-0000-00005F020000}">
      <text>
        <r>
          <rPr>
            <b/>
            <sz val="9"/>
            <color indexed="81"/>
            <rFont val="Arial"/>
            <family val="2"/>
          </rPr>
          <t>John Iverson:</t>
        </r>
        <r>
          <rPr>
            <sz val="9"/>
            <color indexed="81"/>
            <rFont val="Arial"/>
            <family val="2"/>
          </rPr>
          <t xml:space="preserve">
Mean PL = 12.63; CL estimated from mean PL/CL for 0.93518 based on 63 Indiana females</t>
        </r>
      </text>
    </comment>
    <comment ref="J510" authorId="262" shapeId="0" xr:uid="{00000000-0006-0000-0000-000060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0.2823*CL^2.681 Iverson 1984</t>
        </r>
      </text>
    </comment>
    <comment ref="I511" authorId="10" shapeId="0" xr:uid="{00000000-0006-0000-0000-000061020000}">
      <text>
        <r>
          <rPr>
            <b/>
            <sz val="9"/>
            <color indexed="81"/>
            <rFont val="Arial"/>
            <family val="2"/>
          </rPr>
          <t>John Iverson:</t>
        </r>
        <r>
          <rPr>
            <sz val="9"/>
            <color indexed="81"/>
            <rFont val="Arial"/>
            <family val="2"/>
          </rPr>
          <t xml:space="preserve">
Mean PL = 13.2; CL estimated from mean PL/CL for 0.93518 based on 63 Indiana females</t>
        </r>
      </text>
    </comment>
    <comment ref="J511" authorId="263" shapeId="0" xr:uid="{00000000-0006-0000-0000-000062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0.2823*CL^2.681 Iverson 1984</t>
        </r>
      </text>
    </comment>
    <comment ref="J512" authorId="10" shapeId="0" xr:uid="{00000000-0006-0000-0000-000063020000}">
      <text>
        <r>
          <rPr>
            <b/>
            <sz val="9"/>
            <color indexed="81"/>
            <rFont val="Arial"/>
            <family val="2"/>
          </rPr>
          <t>John Iverson:</t>
        </r>
        <r>
          <rPr>
            <sz val="9"/>
            <color indexed="81"/>
            <rFont val="Arial"/>
            <family val="2"/>
          </rPr>
          <t xml:space="preserve">
estimated from BM-CL data in Iverson and Smith 1993</t>
        </r>
      </text>
    </comment>
    <comment ref="P512" authorId="264" shapeId="0" xr:uid="{00000000-0006-0000-0000-000064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G513" authorId="1" shapeId="0" xr:uid="{00000000-0006-0000-0000-000065020000}">
      <text>
        <r>
          <rPr>
            <sz val="10"/>
            <color rgb="FF000000"/>
            <rFont val="Arial"/>
            <family val="2"/>
          </rPr>
          <t>Estimated
	-Joshua Ennen</t>
        </r>
      </text>
    </comment>
    <comment ref="J513" authorId="265" shapeId="0" xr:uid="{00000000-0006-0000-0000-000066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0.3169*CL^2.646 Mosimann (1958)</t>
        </r>
      </text>
    </comment>
    <comment ref="I514" authorId="266" shapeId="0" xr:uid="{00000000-0006-0000-0000-000067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18.1; CL estimated from PL/CL ratio in Iverson and Smith 1993: 0.9609.</t>
        </r>
      </text>
    </comment>
    <comment ref="J514" authorId="267" shapeId="0" xr:uid="{00000000-0006-0000-0000-000068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BM estimated from BM-CL regression in Iverson and Smith 1993).  So BM = 946.49</t>
        </r>
      </text>
    </comment>
    <comment ref="P514" authorId="268" shapeId="0" xr:uid="{00000000-0006-0000-0000-000069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set (July 2020)</t>
        </r>
      </text>
    </comment>
    <comment ref="G515" authorId="269" shapeId="0" xr:uid="{00000000-0006-0000-0000-00006A020000}">
      <text>
        <r>
          <rPr>
            <sz val="10"/>
            <color rgb="FF000000"/>
            <rFont val="Arial"/>
            <family val="2"/>
          </rPr>
          <t xml:space="preserve">
Comment:
    estimated ca. 45-46</t>
        </r>
      </text>
    </comment>
    <comment ref="J515" authorId="10" shapeId="0" xr:uid="{00000000-0006-0000-0000-00006B020000}">
      <text>
        <r>
          <rPr>
            <b/>
            <sz val="9"/>
            <color indexed="81"/>
            <rFont val="Arial"/>
            <family val="2"/>
          </rPr>
          <t>John Iverson:</t>
        </r>
        <r>
          <rPr>
            <sz val="9"/>
            <color indexed="81"/>
            <rFont val="Arial"/>
            <family val="2"/>
          </rPr>
          <t xml:space="preserve">
estimated from BM-CL data in Iverson 1984</t>
        </r>
      </text>
    </comment>
    <comment ref="P515" authorId="10" shapeId="0" xr:uid="{00000000-0006-0000-0000-00006C020000}">
      <text>
        <r>
          <rPr>
            <b/>
            <sz val="9"/>
            <color indexed="81"/>
            <rFont val="Arial"/>
            <family val="2"/>
          </rPr>
          <t>John Iverson:</t>
        </r>
        <r>
          <rPr>
            <sz val="9"/>
            <color indexed="81"/>
            <rFont val="Arial"/>
            <family val="2"/>
          </rPr>
          <t xml:space="preserve">
estimated from our egg data set (July 2020)
</t>
        </r>
      </text>
    </comment>
    <comment ref="O516" authorId="10" shapeId="0" xr:uid="{00000000-0006-0000-0000-00006D020000}">
      <text>
        <r>
          <rPr>
            <b/>
            <sz val="9"/>
            <color indexed="81"/>
            <rFont val="Arial"/>
            <family val="2"/>
          </rPr>
          <t>John Iverson:</t>
        </r>
        <r>
          <rPr>
            <sz val="9"/>
            <color indexed="81"/>
            <rFont val="Arial"/>
            <family val="2"/>
          </rPr>
          <t xml:space="preserve">
xray egg width</t>
        </r>
      </text>
    </comment>
    <comment ref="P516" authorId="270" shapeId="0" xr:uid="{00000000-0006-0000-0000-00006E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egg regression database (Sept 2020)</t>
        </r>
      </text>
    </comment>
    <comment ref="T516" authorId="7" shapeId="0" xr:uid="{00000000-0006-0000-0000-00006F020000}">
      <text>
        <r>
          <rPr>
            <b/>
            <sz val="9"/>
            <color indexed="81"/>
            <rFont val="Tahoma"/>
            <family val="2"/>
          </rPr>
          <t>JEnnen:</t>
        </r>
        <r>
          <rPr>
            <sz val="9"/>
            <color indexed="81"/>
            <rFont val="Tahoma"/>
            <family val="2"/>
          </rPr>
          <t xml:space="preserve">
1-2 reported</t>
        </r>
      </text>
    </comment>
    <comment ref="J517" authorId="271" shapeId="0" xr:uid="{00000000-0006-0000-0000-000070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0.3169*CL^2.646 Mosimann (1958)</t>
        </r>
      </text>
    </comment>
    <comment ref="K517" authorId="7" shapeId="0" xr:uid="{00000000-0006-0000-0000-000071020000}">
      <text>
        <r>
          <rPr>
            <b/>
            <sz val="9"/>
            <color indexed="81"/>
            <rFont val="Tahoma"/>
            <family val="2"/>
          </rPr>
          <t>JEnnen:</t>
        </r>
        <r>
          <rPr>
            <sz val="9"/>
            <color indexed="81"/>
            <rFont val="Tahoma"/>
            <family val="2"/>
          </rPr>
          <t xml:space="preserve">
6-7 reported</t>
        </r>
      </text>
    </comment>
    <comment ref="J518" authorId="272" shapeId="0" xr:uid="{00000000-0006-0000-0000-000072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0.3169*CL^2.646 Mosimann (1958)</t>
        </r>
      </text>
    </comment>
    <comment ref="G520" authorId="273" shapeId="0" xr:uid="{00000000-0006-0000-0000-000073020000}">
      <text>
        <r>
          <rPr>
            <sz val="10"/>
            <color rgb="FF000000"/>
            <rFont val="Arial"/>
            <family val="2"/>
          </rPr>
          <t xml:space="preserve">
Comment:
    estimated ca. 35.75</t>
        </r>
      </text>
    </comment>
    <comment ref="I520" authorId="10" shapeId="0" xr:uid="{00000000-0006-0000-0000-000074020000}">
      <text>
        <r>
          <rPr>
            <b/>
            <sz val="9"/>
            <color indexed="81"/>
            <rFont val="Arial"/>
            <family val="2"/>
          </rPr>
          <t>John Iverson:</t>
        </r>
        <r>
          <rPr>
            <sz val="9"/>
            <color indexed="81"/>
            <rFont val="Arial"/>
            <family val="2"/>
          </rPr>
          <t xml:space="preserve">
PL = 11.4; CL estimated from PL/CL in Iverson and Smith 1993 = 0.9609</t>
        </r>
      </text>
    </comment>
    <comment ref="J520" authorId="10" shapeId="0" xr:uid="{00000000-0006-0000-0000-000075020000}">
      <text>
        <r>
          <rPr>
            <b/>
            <sz val="9"/>
            <color indexed="81"/>
            <rFont val="Arial"/>
            <family val="2"/>
          </rPr>
          <t>John Iverson:</t>
        </r>
        <r>
          <rPr>
            <sz val="9"/>
            <color indexed="81"/>
            <rFont val="Arial"/>
            <family val="2"/>
          </rPr>
          <t xml:space="preserve">
estimated from BM-CL data in Iverson 1984</t>
        </r>
      </text>
    </comment>
    <comment ref="P520" authorId="10" shapeId="0" xr:uid="{00000000-0006-0000-0000-000076020000}">
      <text>
        <r>
          <rPr>
            <b/>
            <sz val="9"/>
            <color indexed="81"/>
            <rFont val="Arial"/>
            <family val="2"/>
          </rPr>
          <t>John Iverson:</t>
        </r>
        <r>
          <rPr>
            <sz val="9"/>
            <color indexed="81"/>
            <rFont val="Arial"/>
            <family val="2"/>
          </rPr>
          <t xml:space="preserve">
estimated from our egg data set</t>
        </r>
      </text>
    </comment>
    <comment ref="I521" authorId="10" shapeId="0" xr:uid="{00000000-0006-0000-0000-000077020000}">
      <text>
        <r>
          <rPr>
            <b/>
            <sz val="9"/>
            <color indexed="81"/>
            <rFont val="Arial"/>
            <family val="2"/>
          </rPr>
          <t>John Iverson:</t>
        </r>
        <r>
          <rPr>
            <sz val="9"/>
            <color indexed="81"/>
            <rFont val="Arial"/>
            <family val="2"/>
          </rPr>
          <t xml:space="preserve">
PL = 12.5; CL estimated from PL/CL in Iverson and Smith 1993 = 0.9609</t>
        </r>
      </text>
    </comment>
    <comment ref="J521" authorId="10" shapeId="0" xr:uid="{00000000-0006-0000-0000-000078020000}">
      <text>
        <r>
          <rPr>
            <b/>
            <sz val="9"/>
            <color indexed="81"/>
            <rFont val="Arial"/>
            <family val="2"/>
          </rPr>
          <t>John Iverson:</t>
        </r>
        <r>
          <rPr>
            <sz val="9"/>
            <color indexed="81"/>
            <rFont val="Arial"/>
            <family val="2"/>
          </rPr>
          <t xml:space="preserve">
estimated from BM-CL data in Iverson 1984</t>
        </r>
      </text>
    </comment>
    <comment ref="K521" authorId="7" shapeId="0" xr:uid="{00000000-0006-0000-0000-000079020000}">
      <text>
        <r>
          <rPr>
            <b/>
            <sz val="9"/>
            <color indexed="81"/>
            <rFont val="Tahoma"/>
            <family val="2"/>
          </rPr>
          <t>JEnnen:</t>
        </r>
        <r>
          <rPr>
            <sz val="9"/>
            <color indexed="81"/>
            <rFont val="Tahoma"/>
            <family val="2"/>
          </rPr>
          <t xml:space="preserve">
4-5 reported</t>
        </r>
      </text>
    </comment>
    <comment ref="P521" authorId="10" shapeId="0" xr:uid="{00000000-0006-0000-0000-00007A020000}">
      <text>
        <r>
          <rPr>
            <b/>
            <sz val="9"/>
            <color indexed="81"/>
            <rFont val="Arial"/>
            <family val="2"/>
          </rPr>
          <t>John Iverson:</t>
        </r>
        <r>
          <rPr>
            <sz val="9"/>
            <color indexed="81"/>
            <rFont val="Arial"/>
            <family val="2"/>
          </rPr>
          <t xml:space="preserve">
estimated from our egg data set</t>
        </r>
      </text>
    </comment>
    <comment ref="I522" authorId="10" shapeId="0" xr:uid="{00000000-0006-0000-0000-00007B020000}">
      <text>
        <r>
          <rPr>
            <b/>
            <sz val="9"/>
            <color indexed="81"/>
            <rFont val="Arial"/>
            <family val="2"/>
          </rPr>
          <t>John Iverson:</t>
        </r>
        <r>
          <rPr>
            <sz val="9"/>
            <color indexed="81"/>
            <rFont val="Arial"/>
            <family val="2"/>
          </rPr>
          <t xml:space="preserve">
PL = 15.1; CL estimated from PL/CL in Iverson and Smith 1993 = 0.9609</t>
        </r>
      </text>
    </comment>
    <comment ref="J522" authorId="10" shapeId="0" xr:uid="{00000000-0006-0000-0000-00007C020000}">
      <text>
        <r>
          <rPr>
            <b/>
            <sz val="9"/>
            <color indexed="81"/>
            <rFont val="Arial"/>
            <family val="2"/>
          </rPr>
          <t>John Iverson:</t>
        </r>
        <r>
          <rPr>
            <sz val="9"/>
            <color indexed="81"/>
            <rFont val="Arial"/>
            <family val="2"/>
          </rPr>
          <t xml:space="preserve">
estimated from BM-CL data in Iverson 1984</t>
        </r>
      </text>
    </comment>
    <comment ref="K522" authorId="7" shapeId="0" xr:uid="{00000000-0006-0000-0000-00007D020000}">
      <text>
        <r>
          <rPr>
            <b/>
            <sz val="9"/>
            <color indexed="81"/>
            <rFont val="Tahoma"/>
            <family val="2"/>
          </rPr>
          <t>JEnnen:</t>
        </r>
        <r>
          <rPr>
            <sz val="9"/>
            <color indexed="81"/>
            <rFont val="Tahoma"/>
            <family val="2"/>
          </rPr>
          <t xml:space="preserve">
4-6 reported</t>
        </r>
      </text>
    </comment>
    <comment ref="P522" authorId="10" shapeId="0" xr:uid="{00000000-0006-0000-0000-00007E020000}">
      <text>
        <r>
          <rPr>
            <b/>
            <sz val="9"/>
            <color indexed="81"/>
            <rFont val="Arial"/>
            <family val="2"/>
          </rPr>
          <t>John Iverson:</t>
        </r>
        <r>
          <rPr>
            <sz val="9"/>
            <color indexed="81"/>
            <rFont val="Arial"/>
            <family val="2"/>
          </rPr>
          <t xml:space="preserve">
estimated from our egg data set</t>
        </r>
      </text>
    </comment>
    <comment ref="G523" authorId="274" shapeId="0" xr:uid="{00000000-0006-0000-0000-00007F020000}">
      <text>
        <r>
          <rPr>
            <sz val="10"/>
            <color rgb="FF000000"/>
            <rFont val="Arial"/>
            <family val="2"/>
          </rPr>
          <t xml:space="preserve">
Comment:
    estimated ca. 47</t>
        </r>
      </text>
    </comment>
    <comment ref="I523" authorId="10" shapeId="0" xr:uid="{00000000-0006-0000-0000-000080020000}">
      <text>
        <r>
          <rPr>
            <b/>
            <sz val="9"/>
            <color indexed="81"/>
            <rFont val="Arial"/>
            <family val="2"/>
          </rPr>
          <t>John Iverson:</t>
        </r>
        <r>
          <rPr>
            <sz val="9"/>
            <color indexed="81"/>
            <rFont val="Arial"/>
            <family val="2"/>
          </rPr>
          <t xml:space="preserve">
PL = 15.7; CL estimated from PL/CL in Iverson and Smith 1993 = 0.9609</t>
        </r>
      </text>
    </comment>
    <comment ref="J523" authorId="10" shapeId="0" xr:uid="{00000000-0006-0000-0000-000081020000}">
      <text>
        <r>
          <rPr>
            <b/>
            <sz val="9"/>
            <color indexed="81"/>
            <rFont val="Arial"/>
            <family val="2"/>
          </rPr>
          <t>John Iverson:</t>
        </r>
        <r>
          <rPr>
            <sz val="9"/>
            <color indexed="81"/>
            <rFont val="Arial"/>
            <family val="2"/>
          </rPr>
          <t xml:space="preserve">
estimated from BM-CL data in Iverson 1984</t>
        </r>
      </text>
    </comment>
    <comment ref="K523" authorId="7" shapeId="0" xr:uid="{00000000-0006-0000-0000-000082020000}">
      <text>
        <r>
          <rPr>
            <b/>
            <sz val="9"/>
            <color indexed="81"/>
            <rFont val="Tahoma"/>
            <family val="2"/>
          </rPr>
          <t>JEnnen:</t>
        </r>
        <r>
          <rPr>
            <sz val="9"/>
            <color indexed="81"/>
            <rFont val="Tahoma"/>
            <family val="2"/>
          </rPr>
          <t xml:space="preserve">
7-8 reported</t>
        </r>
      </text>
    </comment>
    <comment ref="P523" authorId="10" shapeId="0" xr:uid="{00000000-0006-0000-0000-000083020000}">
      <text>
        <r>
          <rPr>
            <b/>
            <sz val="9"/>
            <color indexed="81"/>
            <rFont val="Arial"/>
            <family val="2"/>
          </rPr>
          <t>John Iverson:</t>
        </r>
        <r>
          <rPr>
            <sz val="9"/>
            <color indexed="81"/>
            <rFont val="Arial"/>
            <family val="2"/>
          </rPr>
          <t xml:space="preserve">
estimated from our egg data set</t>
        </r>
      </text>
    </comment>
    <comment ref="J524" authorId="275" shapeId="0" xr:uid="{00000000-0006-0000-0000-000084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0.2823*CL^2.681 Iverson 1984</t>
        </r>
      </text>
    </comment>
    <comment ref="P524" authorId="276" shapeId="0" xr:uid="{00000000-0006-0000-0000-000085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from egg mass data base</t>
        </r>
      </text>
    </comment>
    <comment ref="P525" authorId="10" shapeId="0" xr:uid="{00000000-0006-0000-0000-000086020000}">
      <text>
        <r>
          <rPr>
            <b/>
            <sz val="9"/>
            <color indexed="81"/>
            <rFont val="Arial"/>
            <family val="2"/>
          </rPr>
          <t>John Iverson:</t>
        </r>
        <r>
          <rPr>
            <sz val="9"/>
            <color indexed="81"/>
            <rFont val="Arial"/>
            <family val="2"/>
          </rPr>
          <t xml:space="preserve">
estimated fom our egg data set for C. picta</t>
        </r>
      </text>
    </comment>
    <comment ref="G526" authorId="277" shapeId="0" xr:uid="{00000000-0006-0000-0000-000087020000}">
      <text>
        <r>
          <rPr>
            <sz val="10"/>
            <color rgb="FF000000"/>
            <rFont val="Arial"/>
            <family val="2"/>
          </rPr>
          <t xml:space="preserve">
Comment:
    estimated 45</t>
        </r>
      </text>
    </comment>
    <comment ref="T526" authorId="7" shapeId="0" xr:uid="{00000000-0006-0000-0000-000088020000}">
      <text>
        <r>
          <rPr>
            <b/>
            <sz val="9"/>
            <color indexed="81"/>
            <rFont val="Tahoma"/>
            <family val="2"/>
          </rPr>
          <t>JEnnen:</t>
        </r>
        <r>
          <rPr>
            <sz val="9"/>
            <color indexed="81"/>
            <rFont val="Tahoma"/>
            <family val="2"/>
          </rPr>
          <t xml:space="preserve">
1-2 reported</t>
        </r>
      </text>
    </comment>
    <comment ref="N527" authorId="11" shapeId="0" xr:uid="{00000000-0006-0000-0000-000089020000}">
      <text>
        <r>
          <rPr>
            <b/>
            <sz val="9"/>
            <color indexed="81"/>
            <rFont val="Tahoma"/>
            <family val="2"/>
          </rPr>
          <t>TNACI:</t>
        </r>
        <r>
          <rPr>
            <sz val="9"/>
            <color indexed="81"/>
            <rFont val="Tahoma"/>
            <family val="2"/>
          </rPr>
          <t xml:space="preserve">
estiamted from EM = 0.233EL + 0.519EW - 10.521 Iverson unpublished data (July 2020)</t>
        </r>
      </text>
    </comment>
    <comment ref="P529" authorId="10" shapeId="0" xr:uid="{00000000-0006-0000-0000-00008A020000}">
      <text>
        <r>
          <rPr>
            <b/>
            <sz val="9"/>
            <color indexed="81"/>
            <rFont val="Arial"/>
            <family val="2"/>
          </rPr>
          <t>John Iverson:</t>
        </r>
        <r>
          <rPr>
            <sz val="9"/>
            <color indexed="81"/>
            <rFont val="Arial"/>
            <family val="2"/>
          </rPr>
          <t xml:space="preserve">
estimated from our egg data set</t>
        </r>
      </text>
    </comment>
    <comment ref="I530" authorId="10" shapeId="0" xr:uid="{00000000-0006-0000-0000-00008B020000}">
      <text>
        <r>
          <rPr>
            <b/>
            <sz val="9"/>
            <color indexed="81"/>
            <rFont val="Arial"/>
            <family val="2"/>
          </rPr>
          <t>John Iverson:</t>
        </r>
        <r>
          <rPr>
            <sz val="9"/>
            <color indexed="81"/>
            <rFont val="Arial"/>
            <family val="2"/>
          </rPr>
          <t xml:space="preserve">
PL = 19.14; CL estimated from PL/CL ratio in Tucker 1999 BMHS: 0.939</t>
        </r>
      </text>
    </comment>
    <comment ref="J530" authorId="10" shapeId="0" xr:uid="{00000000-0006-0000-0000-00008C020000}">
      <text>
        <r>
          <rPr>
            <b/>
            <sz val="9"/>
            <color indexed="81"/>
            <rFont val="Arial"/>
            <family val="2"/>
          </rPr>
          <t>John Iverson:</t>
        </r>
        <r>
          <rPr>
            <sz val="9"/>
            <color indexed="81"/>
            <rFont val="Arial"/>
            <family val="2"/>
          </rPr>
          <t xml:space="preserve">
estimated from BM-CL data in Iverson 1984 from Indiana</t>
        </r>
      </text>
    </comment>
    <comment ref="N531" authorId="11" shapeId="0" xr:uid="{00000000-0006-0000-0000-00008D020000}">
      <text>
        <r>
          <rPr>
            <b/>
            <sz val="9"/>
            <color indexed="81"/>
            <rFont val="Tahoma"/>
            <family val="2"/>
          </rPr>
          <t>TNACI:</t>
        </r>
        <r>
          <rPr>
            <sz val="9"/>
            <color indexed="81"/>
            <rFont val="Tahoma"/>
            <family val="2"/>
          </rPr>
          <t xml:space="preserve">
estiamted from EM = 0.233EL + 0.519EW - 10.521 Iverson unpublished data (July 2020)</t>
        </r>
      </text>
    </comment>
    <comment ref="N532" authorId="11" shapeId="0" xr:uid="{00000000-0006-0000-0000-00008E020000}">
      <text>
        <r>
          <rPr>
            <b/>
            <sz val="9"/>
            <color indexed="81"/>
            <rFont val="Tahoma"/>
            <family val="2"/>
          </rPr>
          <t>TNACI:</t>
        </r>
        <r>
          <rPr>
            <sz val="9"/>
            <color indexed="81"/>
            <rFont val="Tahoma"/>
            <family val="2"/>
          </rPr>
          <t xml:space="preserve">
estiamted from EM = 0.233EL + 0.519EW - 10.521 Iverson unpublished data (July 2020)</t>
        </r>
      </text>
    </comment>
    <comment ref="N533" authorId="11" shapeId="0" xr:uid="{00000000-0006-0000-0000-00008F020000}">
      <text>
        <r>
          <rPr>
            <b/>
            <sz val="9"/>
            <color indexed="81"/>
            <rFont val="Tahoma"/>
            <family val="2"/>
          </rPr>
          <t>TNACI:</t>
        </r>
        <r>
          <rPr>
            <sz val="9"/>
            <color indexed="81"/>
            <rFont val="Tahoma"/>
            <family val="2"/>
          </rPr>
          <t xml:space="preserve">
estiamted from EM = 0.233EL + 0.519EW - 10.521 Iverson unpublished data (July 2020)</t>
        </r>
      </text>
    </comment>
    <comment ref="N534" authorId="11" shapeId="0" xr:uid="{00000000-0006-0000-0000-000090020000}">
      <text>
        <r>
          <rPr>
            <b/>
            <sz val="9"/>
            <color indexed="81"/>
            <rFont val="Tahoma"/>
            <family val="2"/>
          </rPr>
          <t>TNACI:</t>
        </r>
        <r>
          <rPr>
            <sz val="9"/>
            <color indexed="81"/>
            <rFont val="Tahoma"/>
            <family val="2"/>
          </rPr>
          <t xml:space="preserve">
estiamted from EM = 0.233EL + 0.519EW - 10.521 Iverson unpublished data (July 2020)</t>
        </r>
      </text>
    </comment>
    <comment ref="L535" authorId="10" shapeId="0" xr:uid="{00000000-0006-0000-0000-000091020000}">
      <text>
        <r>
          <rPr>
            <b/>
            <sz val="9"/>
            <color indexed="81"/>
            <rFont val="Arial"/>
            <family val="2"/>
          </rPr>
          <t>John Iverson:</t>
        </r>
        <r>
          <rPr>
            <sz val="9"/>
            <color indexed="81"/>
            <rFont val="Arial"/>
            <family val="2"/>
          </rPr>
          <t xml:space="preserve">
Clutch size from Rowe 1994 Oecologia</t>
        </r>
      </text>
    </comment>
    <comment ref="L536" authorId="10" shapeId="0" xr:uid="{00000000-0006-0000-0000-000092020000}">
      <text>
        <r>
          <rPr>
            <b/>
            <sz val="9"/>
            <color indexed="81"/>
            <rFont val="Arial"/>
            <family val="2"/>
          </rPr>
          <t>John Iverson:</t>
        </r>
        <r>
          <rPr>
            <sz val="9"/>
            <color indexed="81"/>
            <rFont val="Arial"/>
            <family val="2"/>
          </rPr>
          <t xml:space="preserve">
Clutch size from Rowe 1994 Oecologia</t>
        </r>
      </text>
    </comment>
    <comment ref="L537" authorId="10" shapeId="0" xr:uid="{00000000-0006-0000-0000-000093020000}">
      <text>
        <r>
          <rPr>
            <b/>
            <sz val="9"/>
            <color indexed="81"/>
            <rFont val="Arial"/>
            <family val="2"/>
          </rPr>
          <t>John Iverson:</t>
        </r>
        <r>
          <rPr>
            <sz val="9"/>
            <color indexed="81"/>
            <rFont val="Arial"/>
            <family val="2"/>
          </rPr>
          <t xml:space="preserve">
Clutch size from Rowe 1994 Oecologia</t>
        </r>
      </text>
    </comment>
    <comment ref="L538" authorId="10" shapeId="0" xr:uid="{00000000-0006-0000-0000-000094020000}">
      <text>
        <r>
          <rPr>
            <b/>
            <sz val="9"/>
            <color indexed="81"/>
            <rFont val="Arial"/>
            <family val="2"/>
          </rPr>
          <t>John Iverson:</t>
        </r>
        <r>
          <rPr>
            <sz val="9"/>
            <color indexed="81"/>
            <rFont val="Arial"/>
            <family val="2"/>
          </rPr>
          <t xml:space="preserve">
Clutch size from Rowe 1994 Oecologia</t>
        </r>
      </text>
    </comment>
    <comment ref="N539" authorId="11" shapeId="0" xr:uid="{00000000-0006-0000-0000-000095020000}">
      <text>
        <r>
          <rPr>
            <b/>
            <sz val="9"/>
            <color indexed="81"/>
            <rFont val="Tahoma"/>
            <family val="2"/>
          </rPr>
          <t>TNACI:</t>
        </r>
        <r>
          <rPr>
            <sz val="9"/>
            <color indexed="81"/>
            <rFont val="Tahoma"/>
            <family val="2"/>
          </rPr>
          <t xml:space="preserve">
estiamted from EM = 0.233EL + 0.519EW - 10.521 Iverson unpublished data (July 2020)</t>
        </r>
      </text>
    </comment>
    <comment ref="L542" authorId="10" shapeId="0" xr:uid="{00000000-0006-0000-0000-000096020000}">
      <text>
        <r>
          <rPr>
            <b/>
            <sz val="9"/>
            <color indexed="81"/>
            <rFont val="Arial"/>
            <family val="2"/>
          </rPr>
          <t>John Iverson:</t>
        </r>
        <r>
          <rPr>
            <sz val="9"/>
            <color indexed="81"/>
            <rFont val="Arial"/>
            <family val="2"/>
          </rPr>
          <t xml:space="preserve">
1984</t>
        </r>
      </text>
    </comment>
    <comment ref="L543" authorId="10" shapeId="0" xr:uid="{00000000-0006-0000-0000-000097020000}">
      <text>
        <r>
          <rPr>
            <b/>
            <sz val="9"/>
            <color indexed="81"/>
            <rFont val="Arial"/>
            <family val="2"/>
          </rPr>
          <t>John Iverson:</t>
        </r>
        <r>
          <rPr>
            <sz val="9"/>
            <color indexed="81"/>
            <rFont val="Arial"/>
            <family val="2"/>
          </rPr>
          <t xml:space="preserve">
1983</t>
        </r>
      </text>
    </comment>
    <comment ref="L544" authorId="10" shapeId="0" xr:uid="{00000000-0006-0000-0000-000098020000}">
      <text>
        <r>
          <rPr>
            <b/>
            <sz val="9"/>
            <color indexed="81"/>
            <rFont val="Arial"/>
            <family val="2"/>
          </rPr>
          <t>John Iverson:</t>
        </r>
        <r>
          <rPr>
            <sz val="9"/>
            <color indexed="81"/>
            <rFont val="Arial"/>
            <family val="2"/>
          </rPr>
          <t xml:space="preserve">
1984</t>
        </r>
      </text>
    </comment>
    <comment ref="L545" authorId="10" shapeId="0" xr:uid="{00000000-0006-0000-0000-000099020000}">
      <text>
        <r>
          <rPr>
            <b/>
            <sz val="9"/>
            <color indexed="81"/>
            <rFont val="Arial"/>
            <family val="2"/>
          </rPr>
          <t>John Iverson:</t>
        </r>
        <r>
          <rPr>
            <sz val="9"/>
            <color indexed="81"/>
            <rFont val="Arial"/>
            <family val="2"/>
          </rPr>
          <t xml:space="preserve">
1985</t>
        </r>
      </text>
    </comment>
    <comment ref="N547" authorId="11" shapeId="0" xr:uid="{00000000-0006-0000-0000-00009A020000}">
      <text>
        <r>
          <rPr>
            <b/>
            <sz val="9"/>
            <color indexed="81"/>
            <rFont val="Tahoma"/>
            <family val="2"/>
          </rPr>
          <t>TNACI:</t>
        </r>
        <r>
          <rPr>
            <sz val="9"/>
            <color indexed="81"/>
            <rFont val="Tahoma"/>
            <family val="2"/>
          </rPr>
          <t xml:space="preserve">
estiamted from EM = 0.233EL + 0.519EW - 10.521 Iverson unpublished data (July 2020)</t>
        </r>
      </text>
    </comment>
    <comment ref="I550" authorId="10" shapeId="0" xr:uid="{00000000-0006-0000-0000-00009B020000}">
      <text>
        <r>
          <rPr>
            <b/>
            <sz val="9"/>
            <color indexed="81"/>
            <rFont val="Arial"/>
            <family val="2"/>
          </rPr>
          <t>John Iverson:</t>
        </r>
        <r>
          <rPr>
            <sz val="9"/>
            <color indexed="81"/>
            <rFont val="Arial"/>
            <family val="2"/>
          </rPr>
          <t xml:space="preserve">
PL = 14.155; CL estimated from PL/CL ratio = 0.965; Iverson unpublished</t>
        </r>
      </text>
    </comment>
    <comment ref="J550" authorId="10" shapeId="0" xr:uid="{00000000-0006-0000-0000-00009C020000}">
      <text>
        <r>
          <rPr>
            <b/>
            <sz val="9"/>
            <color indexed="81"/>
            <rFont val="Arial"/>
            <family val="2"/>
          </rPr>
          <t>John Iverson:</t>
        </r>
        <r>
          <rPr>
            <sz val="9"/>
            <color indexed="81"/>
            <rFont val="Arial"/>
            <family val="2"/>
          </rPr>
          <t xml:space="preserve">
estimated from BM-CL data in Iverson 1984 from Indiana</t>
        </r>
      </text>
    </comment>
    <comment ref="P550" authorId="10" shapeId="0" xr:uid="{00000000-0006-0000-0000-00009D020000}">
      <text>
        <r>
          <rPr>
            <b/>
            <sz val="9"/>
            <color indexed="81"/>
            <rFont val="Arial"/>
            <family val="2"/>
          </rPr>
          <t>John Iverson:</t>
        </r>
        <r>
          <rPr>
            <sz val="9"/>
            <color indexed="81"/>
            <rFont val="Arial"/>
            <family val="2"/>
          </rPr>
          <t xml:space="preserve">
estimated from our egg data set (July 2020)</t>
        </r>
      </text>
    </comment>
    <comment ref="I553" authorId="278" shapeId="0" xr:uid="{00000000-0006-0000-0000-00009E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15.11; CL estimated from equation in Zweifel 1989 (0.9448)</t>
        </r>
      </text>
    </comment>
    <comment ref="J553" authorId="279" shapeId="0" xr:uid="{00000000-0006-0000-0000-00009F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0.3169*CL^2.646 Mosimann (1958)</t>
        </r>
      </text>
    </comment>
    <comment ref="L553" authorId="1" shapeId="0" xr:uid="{00000000-0006-0000-0000-0000A0020000}">
      <text>
        <r>
          <rPr>
            <sz val="10"/>
            <color rgb="FF000000"/>
            <rFont val="Arial"/>
            <family val="2"/>
          </rPr>
          <t>overall average of average clutch size per female - 20 year study.
	-Joshua Ennen</t>
        </r>
      </text>
    </comment>
    <comment ref="I554" authorId="10" shapeId="0" xr:uid="{00000000-0006-0000-0000-0000A1020000}">
      <text>
        <r>
          <rPr>
            <b/>
            <sz val="9"/>
            <color indexed="81"/>
            <rFont val="Arial"/>
            <family val="2"/>
          </rPr>
          <t>John Iverson:</t>
        </r>
        <r>
          <rPr>
            <sz val="9"/>
            <color indexed="81"/>
            <rFont val="Arial"/>
            <family val="2"/>
          </rPr>
          <t xml:space="preserve">
PL = 13.133; CL estimated from equation in Zweifel 1989</t>
        </r>
      </text>
    </comment>
    <comment ref="T554" authorId="7" shapeId="0" xr:uid="{00000000-0006-0000-0000-0000A2020000}">
      <text>
        <r>
          <rPr>
            <b/>
            <sz val="9"/>
            <color indexed="81"/>
            <rFont val="Tahoma"/>
            <family val="2"/>
          </rPr>
          <t>JEnnen:</t>
        </r>
        <r>
          <rPr>
            <sz val="9"/>
            <color indexed="81"/>
            <rFont val="Tahoma"/>
            <family val="2"/>
          </rPr>
          <t xml:space="preserve">
1-2 reported</t>
        </r>
      </text>
    </comment>
    <comment ref="J555" authorId="280" shapeId="0" xr:uid="{00000000-0006-0000-0000-0000A3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J556" authorId="281" shapeId="0" xr:uid="{00000000-0006-0000-0000-0000A4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J557" authorId="282" shapeId="0" xr:uid="{00000000-0006-0000-0000-0000A5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J559" authorId="10" shapeId="0" xr:uid="{00000000-0006-0000-0000-0000A6020000}">
      <text>
        <r>
          <rPr>
            <b/>
            <sz val="9"/>
            <color indexed="81"/>
            <rFont val="Arial"/>
            <family val="2"/>
          </rPr>
          <t>John Iverson:</t>
        </r>
        <r>
          <rPr>
            <sz val="9"/>
            <color indexed="81"/>
            <rFont val="Arial"/>
            <family val="2"/>
          </rPr>
          <t xml:space="preserve">
estimated from BM-CL data in Roddewig 2012</t>
        </r>
      </text>
    </comment>
    <comment ref="L559" authorId="283" shapeId="0" xr:uid="{00000000-0006-0000-0000-0000A7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P559" authorId="10" shapeId="0" xr:uid="{00000000-0006-0000-0000-0000A8020000}">
      <text>
        <r>
          <rPr>
            <b/>
            <sz val="9"/>
            <color indexed="81"/>
            <rFont val="Arial"/>
            <family val="2"/>
          </rPr>
          <t>John Iverson:</t>
        </r>
        <r>
          <rPr>
            <sz val="9"/>
            <color indexed="81"/>
            <rFont val="Arial"/>
            <family val="2"/>
          </rPr>
          <t xml:space="preserve">
estimated from our egg data set (July 2020)</t>
        </r>
      </text>
    </comment>
    <comment ref="I560" authorId="284" shapeId="0" xr:uid="{00000000-0006-0000-0000-0000A9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PL=89.225; CL estimated from ratio from Litzgus 1998</t>
        </r>
      </text>
    </comment>
    <comment ref="J560" authorId="285" shapeId="0" xr:uid="{00000000-0006-0000-0000-0000AA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I561" authorId="286" shapeId="0" xr:uid="{00000000-0006-0000-0000-0000AB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PL=9.24, estimated from PL/CL (0.8711) using Litzgus 1998</t>
        </r>
      </text>
    </comment>
    <comment ref="J561" authorId="287" shapeId="0" xr:uid="{00000000-0006-0000-0000-0000AC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L562" authorId="7" shapeId="0" xr:uid="{00000000-0006-0000-0000-0000AD020000}">
      <text>
        <r>
          <rPr>
            <b/>
            <sz val="9"/>
            <color indexed="81"/>
            <rFont val="Tahoma"/>
            <family val="2"/>
          </rPr>
          <t>JEnnen:</t>
        </r>
        <r>
          <rPr>
            <sz val="9"/>
            <color indexed="81"/>
            <rFont val="Tahoma"/>
            <family val="2"/>
          </rPr>
          <t xml:space="preserve">
1-4</t>
        </r>
      </text>
    </comment>
    <comment ref="J563" authorId="288" shapeId="0" xr:uid="{00000000-0006-0000-0000-0000AE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J564" authorId="289" shapeId="0" xr:uid="{00000000-0006-0000-0000-0000AF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I565" authorId="290" shapeId="0" xr:uid="{00000000-0006-0000-0000-0000B0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converted PL (10.34 cm) to CL using ratio (0.8711)</t>
        </r>
      </text>
    </comment>
    <comment ref="J565" authorId="291" shapeId="0" xr:uid="{00000000-0006-0000-0000-0000B1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N565" authorId="11" shapeId="0" xr:uid="{00000000-0006-0000-0000-0000B2020000}">
      <text>
        <r>
          <rPr>
            <b/>
            <sz val="9"/>
            <color indexed="81"/>
            <rFont val="Tahoma"/>
            <family val="2"/>
          </rPr>
          <t>TNACI:</t>
        </r>
        <r>
          <rPr>
            <sz val="9"/>
            <color indexed="81"/>
            <rFont val="Tahoma"/>
            <family val="2"/>
          </rPr>
          <t xml:space="preserve">
estimated from EM = 0.246EL + 0.497EW - 10.627 Iverson unpublished data (July 2020)</t>
        </r>
      </text>
    </comment>
    <comment ref="I566" authorId="292" shapeId="0" xr:uid="{00000000-0006-0000-0000-0000B3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converted PL (9.05 cm) to CL using ratio (0.8711)</t>
        </r>
      </text>
    </comment>
    <comment ref="J566" authorId="293" shapeId="0" xr:uid="{00000000-0006-0000-0000-0000B4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N567" authorId="11" shapeId="0" xr:uid="{00000000-0006-0000-0000-0000B5020000}">
      <text>
        <r>
          <rPr>
            <b/>
            <sz val="9"/>
            <color indexed="81"/>
            <rFont val="Tahoma"/>
            <family val="2"/>
          </rPr>
          <t>TNACI:</t>
        </r>
        <r>
          <rPr>
            <sz val="9"/>
            <color indexed="81"/>
            <rFont val="Tahoma"/>
            <family val="2"/>
          </rPr>
          <t xml:space="preserve">
estimated from EM = 0.246EL + 0.497EW - 10.627 Iverson unpublished data (July 2020)</t>
        </r>
      </text>
    </comment>
    <comment ref="J569" authorId="294" shapeId="0" xr:uid="{00000000-0006-0000-0000-0000B6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P569" authorId="295" shapeId="0" xr:uid="{00000000-0006-0000-0000-0000B7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N570" authorId="11" shapeId="0" xr:uid="{00000000-0006-0000-0000-0000B8020000}">
      <text>
        <r>
          <rPr>
            <b/>
            <sz val="9"/>
            <color indexed="81"/>
            <rFont val="Tahoma"/>
            <family val="2"/>
          </rPr>
          <t>TNACI:</t>
        </r>
        <r>
          <rPr>
            <sz val="9"/>
            <color indexed="81"/>
            <rFont val="Tahoma"/>
            <family val="2"/>
          </rPr>
          <t xml:space="preserve">
estimated from EM = 0.246EL + 0.497EW - 10.627 Iverson unpublished data (July 2020)</t>
        </r>
      </text>
    </comment>
    <comment ref="J572" authorId="296" shapeId="0" xr:uid="{00000000-0006-0000-0000-0000B9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0.04462*CL^3.6943 in Roddewig 2012</t>
        </r>
      </text>
    </comment>
    <comment ref="N574" authorId="11" shapeId="0" xr:uid="{00000000-0006-0000-0000-0000BA020000}">
      <text>
        <r>
          <rPr>
            <b/>
            <sz val="9"/>
            <color indexed="81"/>
            <rFont val="Tahoma"/>
            <family val="2"/>
          </rPr>
          <t>TNACI:</t>
        </r>
        <r>
          <rPr>
            <sz val="9"/>
            <color indexed="81"/>
            <rFont val="Tahoma"/>
            <family val="2"/>
          </rPr>
          <t xml:space="preserve">
estimated from EM = 0.303EL + 0.813EW - 18.431 Iverson unpubished data (July 2020)</t>
        </r>
      </text>
    </comment>
    <comment ref="N575" authorId="11" shapeId="0" xr:uid="{00000000-0006-0000-0000-0000BB020000}">
      <text>
        <r>
          <rPr>
            <b/>
            <sz val="9"/>
            <color indexed="81"/>
            <rFont val="Tahoma"/>
            <family val="2"/>
          </rPr>
          <t>TNACI:</t>
        </r>
        <r>
          <rPr>
            <sz val="9"/>
            <color indexed="81"/>
            <rFont val="Tahoma"/>
            <family val="2"/>
          </rPr>
          <t xml:space="preserve">
estimated from EM = 0.303EL + 0.813EW - 18.431 Iverson unpubished data (July 2020)</t>
        </r>
      </text>
    </comment>
    <comment ref="I576" authorId="297" shapeId="0" xr:uid="{00000000-0006-0000-0000-0000BC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PL=16.0, estimated from Fig. 1 in original paper, based on reported mean egg mass, CL estiamted from unpublished PL/CL data from Iverson (0.905)</t>
        </r>
      </text>
    </comment>
    <comment ref="J576" authorId="298" shapeId="0" xr:uid="{00000000-0006-0000-0000-0000BD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 Dinkelacker, pers. comm. (Sept 2020)</t>
        </r>
      </text>
    </comment>
    <comment ref="I577" authorId="299" shapeId="0" xr:uid="{00000000-0006-0000-0000-0000BE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PL=16.098, estimated from Fig. 1 in original paper, based on reported mean egg mass, CL estiamted from unpublished PL/CL data from Iverson (0.905)</t>
        </r>
      </text>
    </comment>
    <comment ref="J577" authorId="300" shapeId="0" xr:uid="{00000000-0006-0000-0000-0000BF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 Dinkelacker, pers. comm. (Sept 2020)</t>
        </r>
      </text>
    </comment>
    <comment ref="J578" authorId="301" shapeId="0" xr:uid="{00000000-0006-0000-0000-0000C0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 Dinkelacker, pers. comm. (Sept 2020)</t>
        </r>
      </text>
    </comment>
    <comment ref="N578" authorId="10" shapeId="0" xr:uid="{00000000-0006-0000-0000-0000C1020000}">
      <text>
        <r>
          <rPr>
            <b/>
            <sz val="9"/>
            <color indexed="81"/>
            <rFont val="Arial"/>
            <family val="2"/>
          </rPr>
          <t>John Iverson:</t>
        </r>
        <r>
          <rPr>
            <sz val="9"/>
            <color indexed="81"/>
            <rFont val="Arial"/>
            <family val="2"/>
          </rPr>
          <t xml:space="preserve">
"28 to 32"</t>
        </r>
      </text>
    </comment>
    <comment ref="O578" authorId="10" shapeId="0" xr:uid="{00000000-0006-0000-0000-0000C2020000}">
      <text>
        <r>
          <rPr>
            <b/>
            <sz val="9"/>
            <color indexed="81"/>
            <rFont val="Arial"/>
            <family val="2"/>
          </rPr>
          <t>John Iverson:</t>
        </r>
        <r>
          <rPr>
            <sz val="9"/>
            <color indexed="81"/>
            <rFont val="Arial"/>
            <family val="2"/>
          </rPr>
          <t xml:space="preserve">
"17-23"</t>
        </r>
      </text>
    </comment>
    <comment ref="P578" authorId="10" shapeId="0" xr:uid="{00000000-0006-0000-0000-0000C3020000}">
      <text>
        <r>
          <rPr>
            <b/>
            <sz val="9"/>
            <color indexed="81"/>
            <rFont val="Arial"/>
            <family val="2"/>
          </rPr>
          <t>John Iverson:</t>
        </r>
        <r>
          <rPr>
            <sz val="9"/>
            <color indexed="81"/>
            <rFont val="Arial"/>
            <family val="2"/>
          </rPr>
          <t xml:space="preserve">
estimated from our egg data set</t>
        </r>
      </text>
    </comment>
    <comment ref="J579" authorId="302" shapeId="0" xr:uid="{00000000-0006-0000-0000-0000C4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calculated from Table 1 in original paper, where mean BM is erroneously reported to be only 703g</t>
        </r>
      </text>
    </comment>
    <comment ref="N579" authorId="11" shapeId="0" xr:uid="{00000000-0006-0000-0000-0000C5020000}">
      <text>
        <r>
          <rPr>
            <b/>
            <sz val="9"/>
            <color indexed="81"/>
            <rFont val="Tahoma"/>
            <family val="2"/>
          </rPr>
          <t>TNACI:</t>
        </r>
        <r>
          <rPr>
            <sz val="9"/>
            <color indexed="81"/>
            <rFont val="Tahoma"/>
            <family val="2"/>
          </rPr>
          <t xml:space="preserve">
estimated from EM = 0.303EL + 0.813EW - 18.431 Iverson unpubished data (July 2020)</t>
        </r>
      </text>
    </comment>
    <comment ref="I580" authorId="303" shapeId="0" xr:uid="{00000000-0006-0000-0000-0000C6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16.65, convert to CL using PL/CL = 0.9050 Iverson unpublished data</t>
        </r>
      </text>
    </comment>
    <comment ref="J580" authorId="304" shapeId="0" xr:uid="{00000000-0006-0000-0000-0000C7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 Dinkelacker, pers. comm. (Sept 2020)</t>
        </r>
      </text>
    </comment>
    <comment ref="K580" authorId="305" shapeId="0" xr:uid="{00000000-0006-0000-0000-0000C8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Fig. 2 in original paper</t>
        </r>
      </text>
    </comment>
    <comment ref="I581" authorId="306" shapeId="0" xr:uid="{00000000-0006-0000-0000-0000C9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PL=15.60, estimated from Fig. 1 in original paper, based on reported mean egg mass, CL estiamted from unpublished PL/CL data from Iverson (0.905)</t>
        </r>
      </text>
    </comment>
    <comment ref="J581" authorId="307" shapeId="0" xr:uid="{00000000-0006-0000-0000-0000CA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 Dinkelacker, pers. comm. (Sept 2020)</t>
        </r>
      </text>
    </comment>
    <comment ref="I582" authorId="308" shapeId="0" xr:uid="{00000000-0006-0000-0000-0000CB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15.9, convert to CL using PL/CL = 0.9050 Iverson unpublished data</t>
        </r>
      </text>
    </comment>
    <comment ref="J582" authorId="309" shapeId="0" xr:uid="{00000000-0006-0000-0000-0000CC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 Dinkelacker, pers. comm. (Sept 2020)</t>
        </r>
      </text>
    </comment>
    <comment ref="N583" authorId="11" shapeId="0" xr:uid="{00000000-0006-0000-0000-0000CD020000}">
      <text>
        <r>
          <rPr>
            <b/>
            <sz val="9"/>
            <color indexed="81"/>
            <rFont val="Tahoma"/>
            <family val="2"/>
          </rPr>
          <t>TNACI:</t>
        </r>
        <r>
          <rPr>
            <sz val="9"/>
            <color indexed="81"/>
            <rFont val="Tahoma"/>
            <family val="2"/>
          </rPr>
          <t xml:space="preserve">
estimated from EM = 0.303EL + 0.813EW - 18.431 Iverson unpubished data (July 2020)</t>
        </r>
      </text>
    </comment>
    <comment ref="I584" authorId="11" shapeId="0" xr:uid="{00000000-0006-0000-0000-0000CE020000}">
      <text>
        <r>
          <rPr>
            <b/>
            <sz val="9"/>
            <color indexed="81"/>
            <rFont val="Tahoma"/>
            <family val="2"/>
          </rPr>
          <t>TNACI:</t>
        </r>
        <r>
          <rPr>
            <sz val="9"/>
            <color indexed="81"/>
            <rFont val="Tahoma"/>
            <family val="2"/>
          </rPr>
          <t xml:space="preserve">
estimated from PL Iverson unpublished data
PL = 17.63</t>
        </r>
      </text>
    </comment>
    <comment ref="I585" authorId="310" shapeId="0" xr:uid="{00000000-0006-0000-0000-0000CF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17.48, convert to CL using PL/CL = 0.9050 Iverson unpublished data</t>
        </r>
      </text>
    </comment>
    <comment ref="J585" authorId="311" shapeId="0" xr:uid="{00000000-0006-0000-0000-0000D0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S. Dinkelacker, pers. comm. (Sept 2020)</t>
        </r>
      </text>
    </comment>
    <comment ref="J587" authorId="312" shapeId="0" xr:uid="{00000000-0006-0000-0000-0000D1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0.2743*CL^2.758 Wade and Gifford (1965) in Iverson 1984</t>
        </r>
      </text>
    </comment>
    <comment ref="J588" authorId="10" shapeId="0" xr:uid="{00000000-0006-0000-0000-0000D2020000}">
      <text>
        <r>
          <rPr>
            <b/>
            <sz val="9"/>
            <color indexed="81"/>
            <rFont val="Arial"/>
            <family val="2"/>
          </rPr>
          <t>John Iverson:</t>
        </r>
        <r>
          <rPr>
            <sz val="9"/>
            <color indexed="81"/>
            <rFont val="Arial"/>
            <family val="2"/>
          </rPr>
          <t xml:space="preserve">
estimated from BM-CL data from Wade and Gifford 1965.</t>
        </r>
      </text>
    </comment>
    <comment ref="P588" authorId="10" shapeId="0" xr:uid="{00000000-0006-0000-0000-0000D3020000}">
      <text>
        <r>
          <rPr>
            <b/>
            <sz val="9"/>
            <color indexed="81"/>
            <rFont val="Arial"/>
            <family val="2"/>
          </rPr>
          <t>John Iverson:</t>
        </r>
        <r>
          <rPr>
            <sz val="9"/>
            <color indexed="81"/>
            <rFont val="Arial"/>
            <family val="2"/>
          </rPr>
          <t xml:space="preserve">
estimated from our egg data set</t>
        </r>
      </text>
    </comment>
    <comment ref="J589" authorId="10" shapeId="0" xr:uid="{00000000-0006-0000-0000-0000D4020000}">
      <text>
        <r>
          <rPr>
            <b/>
            <sz val="9"/>
            <color indexed="81"/>
            <rFont val="Arial"/>
            <family val="2"/>
          </rPr>
          <t>John Iverson:</t>
        </r>
        <r>
          <rPr>
            <sz val="9"/>
            <color indexed="81"/>
            <rFont val="Arial"/>
            <family val="2"/>
          </rPr>
          <t xml:space="preserve">
estimated from BM-CL data from Wade and Gifford 1965.</t>
        </r>
      </text>
    </comment>
    <comment ref="P589" authorId="10" shapeId="0" xr:uid="{00000000-0006-0000-0000-0000D5020000}">
      <text>
        <r>
          <rPr>
            <b/>
            <sz val="9"/>
            <color indexed="81"/>
            <rFont val="Arial"/>
            <family val="2"/>
          </rPr>
          <t>John Iverson:</t>
        </r>
        <r>
          <rPr>
            <sz val="9"/>
            <color indexed="81"/>
            <rFont val="Arial"/>
            <family val="2"/>
          </rPr>
          <t xml:space="preserve">
estimated from our egg data set</t>
        </r>
      </text>
    </comment>
    <comment ref="I593" authorId="10" shapeId="0" xr:uid="{00000000-0006-0000-0000-0000D6020000}">
      <text>
        <r>
          <rPr>
            <b/>
            <sz val="9"/>
            <color indexed="81"/>
            <rFont val="Arial"/>
            <family val="2"/>
          </rPr>
          <t>John Iverson:</t>
        </r>
        <r>
          <rPr>
            <sz val="9"/>
            <color indexed="81"/>
            <rFont val="Arial"/>
            <family val="2"/>
          </rPr>
          <t xml:space="preserve">
PL = 21.13; CL estimated from PL/CL in Congdon and van Loben Sels (1991)</t>
        </r>
      </text>
    </comment>
    <comment ref="J593" authorId="10" shapeId="0" xr:uid="{00000000-0006-0000-0000-0000D7020000}">
      <text>
        <r>
          <rPr>
            <b/>
            <sz val="9"/>
            <color indexed="81"/>
            <rFont val="Arial"/>
            <family val="2"/>
          </rPr>
          <t>John Iverson:</t>
        </r>
        <r>
          <rPr>
            <sz val="9"/>
            <color indexed="81"/>
            <rFont val="Arial"/>
            <family val="2"/>
          </rPr>
          <t xml:space="preserve">
estimated from BM-CL data from Wade and Gifford 1965.</t>
        </r>
      </text>
    </comment>
    <comment ref="I594" authorId="10" shapeId="0" xr:uid="{00000000-0006-0000-0000-0000D8020000}">
      <text>
        <r>
          <rPr>
            <b/>
            <sz val="9"/>
            <color indexed="81"/>
            <rFont val="Arial"/>
            <family val="2"/>
          </rPr>
          <t>John Iverson:</t>
        </r>
        <r>
          <rPr>
            <sz val="9"/>
            <color indexed="81"/>
            <rFont val="Arial"/>
            <family val="2"/>
          </rPr>
          <t xml:space="preserve">
PL = 19.67; CL estimated from PL/CL in Congdon and van Loben Sels (1991)</t>
        </r>
      </text>
    </comment>
    <comment ref="J594" authorId="10" shapeId="0" xr:uid="{00000000-0006-0000-0000-0000D9020000}">
      <text>
        <r>
          <rPr>
            <b/>
            <sz val="9"/>
            <color indexed="81"/>
            <rFont val="Arial"/>
            <family val="2"/>
          </rPr>
          <t>John Iverson:</t>
        </r>
        <r>
          <rPr>
            <sz val="9"/>
            <color indexed="81"/>
            <rFont val="Arial"/>
            <family val="2"/>
          </rPr>
          <t xml:space="preserve">
estimated from BM-CL data from Wade and Gifford 1965.</t>
        </r>
      </text>
    </comment>
    <comment ref="J595" authorId="313" shapeId="0" xr:uid="{00000000-0006-0000-0000-0000DA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0.2743*CL^2.758 Wade and Gifford (1965) in Iverson 1984</t>
        </r>
      </text>
    </comment>
    <comment ref="L595" authorId="314" shapeId="0" xr:uid="{00000000-0006-0000-0000-0000DB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J596" authorId="315" shapeId="0" xr:uid="{00000000-0006-0000-0000-0000DC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0.2743*CL^2.758 Wade and Gifford 1965 (Iverson 1984)</t>
        </r>
      </text>
    </comment>
    <comment ref="P596" authorId="11" shapeId="0" xr:uid="{00000000-0006-0000-0000-0000DD020000}">
      <text>
        <r>
          <rPr>
            <b/>
            <sz val="9"/>
            <color indexed="81"/>
            <rFont val="Tahoma"/>
            <family val="2"/>
          </rPr>
          <t>TNACI:</t>
        </r>
        <r>
          <rPr>
            <sz val="9"/>
            <color indexed="81"/>
            <rFont val="Tahoma"/>
            <family val="2"/>
          </rPr>
          <t xml:space="preserve">
estimated from </t>
        </r>
        <r>
          <rPr>
            <b/>
            <sz val="9"/>
            <color indexed="81"/>
            <rFont val="Tahoma"/>
            <family val="2"/>
          </rPr>
          <t>EM = 0.277EL + 1.102EW - 24.048 Iverson unpublished data (July 2020)</t>
        </r>
      </text>
    </comment>
    <comment ref="S596" authorId="316" shapeId="0" xr:uid="{00000000-0006-0000-0000-0000DE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J598" authorId="10" shapeId="0" xr:uid="{00000000-0006-0000-0000-0000DF020000}">
      <text>
        <r>
          <rPr>
            <b/>
            <sz val="9"/>
            <color indexed="81"/>
            <rFont val="Arial"/>
            <family val="2"/>
          </rPr>
          <t>John Iverson:</t>
        </r>
        <r>
          <rPr>
            <sz val="9"/>
            <color indexed="81"/>
            <rFont val="Arial"/>
            <family val="2"/>
          </rPr>
          <t xml:space="preserve">
estimated from BM-CL data from Wade and Gifford 1965.</t>
        </r>
      </text>
    </comment>
    <comment ref="I603" authorId="10" shapeId="0" xr:uid="{00000000-0006-0000-0000-0000E0020000}">
      <text>
        <r>
          <rPr>
            <b/>
            <sz val="9"/>
            <color indexed="81"/>
            <rFont val="Arial"/>
            <family val="2"/>
          </rPr>
          <t>John Iverson:</t>
        </r>
        <r>
          <rPr>
            <sz val="9"/>
            <color indexed="81"/>
            <rFont val="Arial"/>
            <family val="2"/>
          </rPr>
          <t xml:space="preserve">
PL = 16.18; PL estimated from PL/CL in Congdon and Van Loben Sels (1991)</t>
        </r>
      </text>
    </comment>
    <comment ref="I604" authorId="10" shapeId="0" xr:uid="{00000000-0006-0000-0000-0000E1020000}">
      <text>
        <r>
          <rPr>
            <b/>
            <sz val="9"/>
            <color indexed="81"/>
            <rFont val="Arial"/>
            <family val="2"/>
          </rPr>
          <t>John Iverson:</t>
        </r>
        <r>
          <rPr>
            <sz val="9"/>
            <color indexed="81"/>
            <rFont val="Arial"/>
            <family val="2"/>
          </rPr>
          <t xml:space="preserve">
PL = 19.44; PL estimated from PL/CL in Congdon and Van Loben Sels (1991)</t>
        </r>
      </text>
    </comment>
    <comment ref="I605" authorId="10" shapeId="0" xr:uid="{00000000-0006-0000-0000-0000E2020000}">
      <text>
        <r>
          <rPr>
            <b/>
            <sz val="9"/>
            <color indexed="81"/>
            <rFont val="Arial"/>
            <family val="2"/>
          </rPr>
          <t>John Iverson:</t>
        </r>
        <r>
          <rPr>
            <sz val="9"/>
            <color indexed="81"/>
            <rFont val="Arial"/>
            <family val="2"/>
          </rPr>
          <t xml:space="preserve">
PL = 22.8; CL estimated from PL/CL in Congdon and van Loben Sels (1991)</t>
        </r>
      </text>
    </comment>
    <comment ref="J605" authorId="10" shapeId="0" xr:uid="{00000000-0006-0000-0000-0000E3020000}">
      <text>
        <r>
          <rPr>
            <b/>
            <sz val="9"/>
            <color indexed="81"/>
            <rFont val="Arial"/>
            <family val="2"/>
          </rPr>
          <t>John Iverson:</t>
        </r>
        <r>
          <rPr>
            <sz val="9"/>
            <color indexed="81"/>
            <rFont val="Arial"/>
            <family val="2"/>
          </rPr>
          <t xml:space="preserve">
estimated from BM-CL data from Wade and Gifford 1965.</t>
        </r>
      </text>
    </comment>
    <comment ref="N608" authorId="11" shapeId="0" xr:uid="{00000000-0006-0000-0000-0000E4020000}">
      <text>
        <r>
          <rPr>
            <b/>
            <sz val="9"/>
            <color indexed="81"/>
            <rFont val="Tahoma"/>
            <family val="2"/>
          </rPr>
          <t>TNACI:</t>
        </r>
        <r>
          <rPr>
            <sz val="9"/>
            <color indexed="81"/>
            <rFont val="Tahoma"/>
            <family val="2"/>
          </rPr>
          <t xml:space="preserve">
TNACI:
estimated from EM = 0.277EL + 1.102EW - 24.048 Iverson unpublished data (July 2020)</t>
        </r>
      </text>
    </comment>
    <comment ref="J610" authorId="317" shapeId="0" xr:uid="{00000000-0006-0000-0000-0000E5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0.2743*CL^2.758 Wade and Gifford (1965) in Iverson 1984</t>
        </r>
      </text>
    </comment>
    <comment ref="N610" authorId="11" shapeId="0" xr:uid="{00000000-0006-0000-0000-0000E6020000}">
      <text>
        <r>
          <rPr>
            <b/>
            <sz val="9"/>
            <color indexed="81"/>
            <rFont val="Tahoma"/>
            <family val="2"/>
          </rPr>
          <t>TNACI:</t>
        </r>
        <r>
          <rPr>
            <sz val="9"/>
            <color indexed="81"/>
            <rFont val="Tahoma"/>
            <family val="2"/>
          </rPr>
          <t xml:space="preserve">
TNACI:
estimated from EM = 0.277EL + 1.102EW - 24.048 Iverson unpublished data (July 2020)</t>
        </r>
      </text>
    </comment>
    <comment ref="J615" authorId="318" shapeId="0" xr:uid="{00000000-0006-0000-0000-0000E7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0.2743*CL^2.758 Wade and Gifford 1965 (Iverson 1984)</t>
        </r>
      </text>
    </comment>
    <comment ref="S615" authorId="319" shapeId="0" xr:uid="{00000000-0006-0000-0000-0000E8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RCM of 23.73 is too high for this species; therefore, we removed the estimate</t>
        </r>
      </text>
    </comment>
    <comment ref="I616" authorId="10" shapeId="0" xr:uid="{00000000-0006-0000-0000-0000E9020000}">
      <text>
        <r>
          <rPr>
            <b/>
            <sz val="9"/>
            <color indexed="81"/>
            <rFont val="Arial"/>
            <family val="2"/>
          </rPr>
          <t>John Iverson:</t>
        </r>
        <r>
          <rPr>
            <sz val="9"/>
            <color indexed="81"/>
            <rFont val="Arial"/>
            <family val="2"/>
          </rPr>
          <t xml:space="preserve">
PL = 18.23; CL estimated from PL/CL in Congdon and van Loben Sels (1991)</t>
        </r>
      </text>
    </comment>
    <comment ref="J616" authorId="10" shapeId="0" xr:uid="{00000000-0006-0000-0000-0000EA020000}">
      <text>
        <r>
          <rPr>
            <b/>
            <sz val="9"/>
            <color indexed="81"/>
            <rFont val="Arial"/>
            <family val="2"/>
          </rPr>
          <t>John Iverson:</t>
        </r>
        <r>
          <rPr>
            <sz val="9"/>
            <color indexed="81"/>
            <rFont val="Arial"/>
            <family val="2"/>
          </rPr>
          <t xml:space="preserve">
estimated from BM-CL data from Wade and Gifford 1965.</t>
        </r>
      </text>
    </comment>
    <comment ref="J618" authorId="320" shapeId="0" xr:uid="{00000000-0006-0000-0000-0000EB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0.00299*CL^2.439 (Meek 1982)</t>
        </r>
      </text>
    </comment>
    <comment ref="P618" authorId="321" shapeId="0" xr:uid="{00000000-0006-0000-0000-0000EC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C. picta (Sept 2020)</t>
        </r>
      </text>
    </comment>
    <comment ref="P619" authorId="322" shapeId="0" xr:uid="{00000000-0006-0000-0000-0000ED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C. picta (Sept 2020)</t>
        </r>
      </text>
    </comment>
    <comment ref="G622" authorId="323" shapeId="0" xr:uid="{00000000-0006-0000-0000-0000EE020000}">
      <text>
        <r>
          <rPr>
            <sz val="10"/>
            <color rgb="FF000000"/>
            <rFont val="Arial"/>
            <family val="2"/>
          </rPr>
          <t xml:space="preserve">
Comment:
    estimated ca. 54</t>
        </r>
      </text>
    </comment>
    <comment ref="J623" authorId="10" shapeId="0" xr:uid="{00000000-0006-0000-0000-0000EF020000}">
      <text>
        <r>
          <rPr>
            <b/>
            <sz val="9"/>
            <color indexed="81"/>
            <rFont val="Arial"/>
            <family val="2"/>
          </rPr>
          <t>John Iverson:</t>
        </r>
        <r>
          <rPr>
            <sz val="9"/>
            <color indexed="81"/>
            <rFont val="Arial"/>
            <family val="2"/>
          </rPr>
          <t xml:space="preserve">
estimated from Fig. 23 in thesis</t>
        </r>
      </text>
    </comment>
    <comment ref="K623" authorId="7" shapeId="0" xr:uid="{00000000-0006-0000-0000-0000F0020000}">
      <text>
        <r>
          <rPr>
            <b/>
            <sz val="9"/>
            <color indexed="81"/>
            <rFont val="Tahoma"/>
            <family val="2"/>
          </rPr>
          <t>JEnnen:</t>
        </r>
        <r>
          <rPr>
            <sz val="9"/>
            <color indexed="81"/>
            <rFont val="Tahoma"/>
            <family val="2"/>
          </rPr>
          <t xml:space="preserve">
5-9 reported</t>
        </r>
      </text>
    </comment>
    <comment ref="T625" authorId="7" shapeId="0" xr:uid="{00000000-0006-0000-0000-0000F1020000}">
      <text>
        <r>
          <rPr>
            <b/>
            <sz val="9"/>
            <color indexed="81"/>
            <rFont val="Tahoma"/>
            <family val="2"/>
          </rPr>
          <t>JEnnen:</t>
        </r>
        <r>
          <rPr>
            <sz val="9"/>
            <color indexed="81"/>
            <rFont val="Tahoma"/>
            <family val="2"/>
          </rPr>
          <t xml:space="preserve">
1-2 reported</t>
        </r>
      </text>
    </comment>
    <comment ref="K626" authorId="7" shapeId="0" xr:uid="{00000000-0006-0000-0000-0000F2020000}">
      <text>
        <r>
          <rPr>
            <b/>
            <sz val="9"/>
            <color indexed="81"/>
            <rFont val="Tahoma"/>
            <family val="2"/>
          </rPr>
          <t>JEnnen:</t>
        </r>
        <r>
          <rPr>
            <sz val="9"/>
            <color indexed="81"/>
            <rFont val="Tahoma"/>
            <family val="2"/>
          </rPr>
          <t xml:space="preserve">
5-6 reported</t>
        </r>
      </text>
    </comment>
    <comment ref="L626" authorId="7" shapeId="0" xr:uid="{00000000-0006-0000-0000-0000F3020000}">
      <text>
        <r>
          <rPr>
            <b/>
            <sz val="9"/>
            <color indexed="81"/>
            <rFont val="Tahoma"/>
            <family val="2"/>
          </rPr>
          <t>JEnnen:</t>
        </r>
        <r>
          <rPr>
            <sz val="9"/>
            <color indexed="81"/>
            <rFont val="Tahoma"/>
            <family val="2"/>
          </rPr>
          <t xml:space="preserve">
5-19</t>
        </r>
      </text>
    </comment>
    <comment ref="G627" authorId="7" shapeId="0" xr:uid="{00000000-0006-0000-0000-0000F4020000}">
      <text>
        <r>
          <rPr>
            <b/>
            <sz val="9"/>
            <color indexed="81"/>
            <rFont val="Tahoma"/>
            <family val="2"/>
          </rPr>
          <t>JEnnen:</t>
        </r>
        <r>
          <rPr>
            <sz val="9"/>
            <color indexed="81"/>
            <rFont val="Tahoma"/>
            <family val="2"/>
          </rPr>
          <t xml:space="preserve">
42-44 reported</t>
        </r>
      </text>
    </comment>
    <comment ref="J627" authorId="10" shapeId="0" xr:uid="{00000000-0006-0000-0000-0000F5020000}">
      <text>
        <r>
          <rPr>
            <b/>
            <sz val="9"/>
            <color indexed="81"/>
            <rFont val="Arial"/>
            <family val="2"/>
          </rPr>
          <t>John Iverson:</t>
        </r>
        <r>
          <rPr>
            <sz val="9"/>
            <color indexed="81"/>
            <rFont val="Arial"/>
            <family val="2"/>
          </rPr>
          <t xml:space="preserve">
estimated from BM-CL data in Meek 1982</t>
        </r>
      </text>
    </comment>
    <comment ref="K627" authorId="7" shapeId="0" xr:uid="{00000000-0006-0000-0000-0000F6020000}">
      <text>
        <r>
          <rPr>
            <b/>
            <sz val="9"/>
            <color indexed="81"/>
            <rFont val="Tahoma"/>
            <family val="2"/>
          </rPr>
          <t>JEnnen:</t>
        </r>
        <r>
          <rPr>
            <sz val="9"/>
            <color indexed="81"/>
            <rFont val="Tahoma"/>
            <family val="2"/>
          </rPr>
          <t xml:space="preserve">
6-9 reported</t>
        </r>
      </text>
    </comment>
    <comment ref="N627" authorId="10" shapeId="0" xr:uid="{00000000-0006-0000-0000-0000F7020000}">
      <text>
        <r>
          <rPr>
            <b/>
            <sz val="9"/>
            <color indexed="81"/>
            <rFont val="Arial"/>
            <family val="2"/>
          </rPr>
          <t>John Iverson:</t>
        </r>
        <r>
          <rPr>
            <sz val="9"/>
            <color indexed="81"/>
            <rFont val="Arial"/>
            <family val="2"/>
          </rPr>
          <t xml:space="preserve">
"28.9-33.8"</t>
        </r>
      </text>
    </comment>
    <comment ref="O627" authorId="10" shapeId="0" xr:uid="{00000000-0006-0000-0000-0000F8020000}">
      <text>
        <r>
          <rPr>
            <b/>
            <sz val="9"/>
            <color indexed="81"/>
            <rFont val="Arial"/>
            <family val="2"/>
          </rPr>
          <t>John Iverson:</t>
        </r>
        <r>
          <rPr>
            <sz val="9"/>
            <color indexed="81"/>
            <rFont val="Arial"/>
            <family val="2"/>
          </rPr>
          <t xml:space="preserve">
"18.1-19.8"</t>
        </r>
      </text>
    </comment>
    <comment ref="P627" authorId="10" shapeId="0" xr:uid="{00000000-0006-0000-0000-0000F9020000}">
      <text>
        <r>
          <rPr>
            <b/>
            <sz val="9"/>
            <color indexed="81"/>
            <rFont val="Arial"/>
            <family val="2"/>
          </rPr>
          <t>John Iverson:</t>
        </r>
        <r>
          <rPr>
            <sz val="9"/>
            <color indexed="81"/>
            <rFont val="Arial"/>
            <family val="2"/>
          </rPr>
          <t xml:space="preserve">
estimated from our egg data set for C. picta</t>
        </r>
      </text>
    </comment>
    <comment ref="P628" authorId="324" shapeId="0" xr:uid="{00000000-0006-0000-0000-0000FA02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C. picta (Sept 2020)</t>
        </r>
      </text>
    </comment>
    <comment ref="K629" authorId="7" shapeId="0" xr:uid="{00000000-0006-0000-0000-0000FB020000}">
      <text>
        <r>
          <rPr>
            <b/>
            <sz val="9"/>
            <color indexed="81"/>
            <rFont val="Tahoma"/>
            <family val="2"/>
          </rPr>
          <t>JEnnen:</t>
        </r>
        <r>
          <rPr>
            <sz val="9"/>
            <color indexed="81"/>
            <rFont val="Tahoma"/>
            <family val="2"/>
          </rPr>
          <t xml:space="preserve">
6-8</t>
        </r>
      </text>
    </comment>
    <comment ref="I635" authorId="10" shapeId="0" xr:uid="{00000000-0006-0000-0000-0000FC020000}">
      <text>
        <r>
          <rPr>
            <b/>
            <sz val="9"/>
            <color indexed="81"/>
            <rFont val="Arial"/>
            <family val="2"/>
          </rPr>
          <t>John Iverson:</t>
        </r>
        <r>
          <rPr>
            <sz val="9"/>
            <color indexed="81"/>
            <rFont val="Arial"/>
            <family val="2"/>
          </rPr>
          <t xml:space="preserve">
mean midline PL = 11.4 cm
estimated from our BM-CL regression database (Meek 1982) because there is no PL/CL ratio to use (Sept 2020)</t>
        </r>
      </text>
    </comment>
    <comment ref="N635" authorId="7" shapeId="0" xr:uid="{00000000-0006-0000-0000-0000FD020000}">
      <text>
        <r>
          <rPr>
            <b/>
            <sz val="9"/>
            <color indexed="81"/>
            <rFont val="Tahoma"/>
            <family val="2"/>
          </rPr>
          <t>JEnnen:</t>
        </r>
        <r>
          <rPr>
            <sz val="9"/>
            <color indexed="81"/>
            <rFont val="Tahoma"/>
            <family val="2"/>
          </rPr>
          <t xml:space="preserve">
28-34 reported</t>
        </r>
      </text>
    </comment>
    <comment ref="O635" authorId="7" shapeId="0" xr:uid="{00000000-0006-0000-0000-0000FE020000}">
      <text>
        <r>
          <rPr>
            <b/>
            <sz val="9"/>
            <color indexed="81"/>
            <rFont val="Tahoma"/>
            <family val="2"/>
          </rPr>
          <t>JEnnen:</t>
        </r>
        <r>
          <rPr>
            <sz val="9"/>
            <color indexed="81"/>
            <rFont val="Tahoma"/>
            <family val="2"/>
          </rPr>
          <t xml:space="preserve">
17.5-20.5 reported</t>
        </r>
      </text>
    </comment>
    <comment ref="P635" authorId="7" shapeId="0" xr:uid="{00000000-0006-0000-0000-0000FF020000}">
      <text>
        <r>
          <rPr>
            <b/>
            <sz val="9"/>
            <color indexed="81"/>
            <rFont val="Tahoma"/>
            <family val="2"/>
          </rPr>
          <t>JEnnen:</t>
        </r>
        <r>
          <rPr>
            <sz val="9"/>
            <color indexed="81"/>
            <rFont val="Tahoma"/>
            <family val="2"/>
          </rPr>
          <t xml:space="preserve">
5.5-7.5 reported</t>
        </r>
      </text>
    </comment>
    <comment ref="P636" authorId="325" shapeId="0" xr:uid="{00000000-0006-0000-0000-00000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C. picta (Sept 2020)</t>
        </r>
      </text>
    </comment>
    <comment ref="G640" authorId="7" shapeId="0" xr:uid="{00000000-0006-0000-0000-000001030000}">
      <text>
        <r>
          <rPr>
            <b/>
            <sz val="9"/>
            <color indexed="81"/>
            <rFont val="Tahoma"/>
            <family val="2"/>
          </rPr>
          <t>JEnnen:</t>
        </r>
        <r>
          <rPr>
            <sz val="9"/>
            <color indexed="81"/>
            <rFont val="Tahoma"/>
            <family val="2"/>
          </rPr>
          <t xml:space="preserve">
48.5-50.5 reported</t>
        </r>
      </text>
    </comment>
    <comment ref="L640" authorId="10" shapeId="0" xr:uid="{00000000-0006-0000-0000-000002030000}">
      <text>
        <r>
          <rPr>
            <b/>
            <sz val="9"/>
            <color indexed="81"/>
            <rFont val="Arial"/>
            <family val="2"/>
          </rPr>
          <t>John Iverson:</t>
        </r>
        <r>
          <rPr>
            <sz val="9"/>
            <color indexed="81"/>
            <rFont val="Arial"/>
            <family val="2"/>
          </rPr>
          <t xml:space="preserve">
"9-11"</t>
        </r>
      </text>
    </comment>
    <comment ref="N640" authorId="7" shapeId="0" xr:uid="{00000000-0006-0000-0000-000003030000}">
      <text>
        <r>
          <rPr>
            <b/>
            <sz val="9"/>
            <color indexed="81"/>
            <rFont val="Tahoma"/>
            <family val="2"/>
          </rPr>
          <t>JEnnen:</t>
        </r>
        <r>
          <rPr>
            <sz val="9"/>
            <color indexed="81"/>
            <rFont val="Tahoma"/>
            <family val="2"/>
          </rPr>
          <t xml:space="preserve">
30-37 reported</t>
        </r>
      </text>
    </comment>
    <comment ref="O640" authorId="7" shapeId="0" xr:uid="{00000000-0006-0000-0000-000004030000}">
      <text>
        <r>
          <rPr>
            <b/>
            <sz val="9"/>
            <color indexed="81"/>
            <rFont val="Tahoma"/>
            <family val="2"/>
          </rPr>
          <t>JEnnen:</t>
        </r>
        <r>
          <rPr>
            <sz val="9"/>
            <color indexed="81"/>
            <rFont val="Tahoma"/>
            <family val="2"/>
          </rPr>
          <t xml:space="preserve">
18-24 reported</t>
        </r>
      </text>
    </comment>
    <comment ref="G641" authorId="7" shapeId="0" xr:uid="{00000000-0006-0000-0000-000005030000}">
      <text>
        <r>
          <rPr>
            <b/>
            <sz val="9"/>
            <color indexed="81"/>
            <rFont val="Tahoma"/>
            <family val="2"/>
          </rPr>
          <t>JEnnen:</t>
        </r>
        <r>
          <rPr>
            <sz val="9"/>
            <color indexed="81"/>
            <rFont val="Tahoma"/>
            <family val="2"/>
          </rPr>
          <t xml:space="preserve">
50-48 reported</t>
        </r>
      </text>
    </comment>
    <comment ref="I641" authorId="1" shapeId="0" xr:uid="{00000000-0006-0000-0000-000006030000}">
      <text>
        <r>
          <rPr>
            <sz val="10"/>
            <color rgb="FF000000"/>
            <rFont val="Arial"/>
            <family val="2"/>
          </rPr>
          <t>only reported max CL
	-Joshua Ennen</t>
        </r>
      </text>
    </comment>
    <comment ref="J641" authorId="326" shapeId="0" xr:uid="{00000000-0006-0000-0000-000007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0.00299*CL^2.439 (Meek 1982)</t>
        </r>
      </text>
    </comment>
    <comment ref="L641" authorId="327" shapeId="0" xr:uid="{00000000-0006-0000-0000-00000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6-22</t>
        </r>
      </text>
    </comment>
    <comment ref="N641" authorId="7" shapeId="0" xr:uid="{00000000-0006-0000-0000-000009030000}">
      <text>
        <r>
          <rPr>
            <b/>
            <sz val="9"/>
            <color indexed="81"/>
            <rFont val="Tahoma"/>
            <family val="2"/>
          </rPr>
          <t>JEnnen:</t>
        </r>
        <r>
          <rPr>
            <sz val="9"/>
            <color indexed="81"/>
            <rFont val="Tahoma"/>
            <family val="2"/>
          </rPr>
          <t xml:space="preserve">
30-37 reported</t>
        </r>
      </text>
    </comment>
    <comment ref="O641" authorId="7" shapeId="0" xr:uid="{00000000-0006-0000-0000-00000A030000}">
      <text>
        <r>
          <rPr>
            <b/>
            <sz val="9"/>
            <color indexed="81"/>
            <rFont val="Tahoma"/>
            <family val="2"/>
          </rPr>
          <t>JEnnen:</t>
        </r>
        <r>
          <rPr>
            <sz val="9"/>
            <color indexed="81"/>
            <rFont val="Tahoma"/>
            <family val="2"/>
          </rPr>
          <t xml:space="preserve">
18-24 reported</t>
        </r>
      </text>
    </comment>
    <comment ref="I642" authorId="1" shapeId="0" xr:uid="{00000000-0006-0000-0000-00000B030000}">
      <text>
        <r>
          <rPr>
            <sz val="10"/>
            <color rgb="FF000000"/>
            <rFont val="Arial"/>
            <family val="2"/>
          </rPr>
          <t>averaged from table 1
	-Joshua Ennen</t>
        </r>
      </text>
    </comment>
    <comment ref="J642" authorId="1" shapeId="0" xr:uid="{00000000-0006-0000-0000-00000C030000}">
      <text>
        <r>
          <rPr>
            <sz val="10"/>
            <color rgb="FF000000"/>
            <rFont val="Arial"/>
            <family val="2"/>
          </rPr>
          <t>averaged from table 1
	-Joshua Ennen</t>
        </r>
      </text>
    </comment>
    <comment ref="I643" authorId="1" shapeId="0" xr:uid="{00000000-0006-0000-0000-00000D030000}">
      <text>
        <r>
          <rPr>
            <sz val="10"/>
            <color rgb="FF000000"/>
            <rFont val="Arial"/>
            <family val="2"/>
          </rPr>
          <t>averaged from table 1; combined the sites within populations.
	-Joshua Ennen</t>
        </r>
      </text>
    </comment>
    <comment ref="J643" authorId="1" shapeId="0" xr:uid="{00000000-0006-0000-0000-00000E030000}">
      <text>
        <r>
          <rPr>
            <sz val="10"/>
            <color rgb="FF000000"/>
            <rFont val="Arial"/>
            <family val="2"/>
          </rPr>
          <t>ditto
	-Joshua Ennen</t>
        </r>
      </text>
    </comment>
    <comment ref="L646" authorId="1" shapeId="0" xr:uid="{00000000-0006-0000-0000-00000F030000}">
      <text>
        <r>
          <rPr>
            <sz val="10"/>
            <color rgb="FF000000"/>
            <rFont val="Arial"/>
            <family val="2"/>
          </rPr>
          <t>median and not mean
	-Joshua Ennen</t>
        </r>
      </text>
    </comment>
    <comment ref="J651" authorId="328" shapeId="0" xr:uid="{00000000-0006-0000-0000-00001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0.00299*CL^2.439 (Meek 1982)</t>
        </r>
      </text>
    </comment>
    <comment ref="O651" authorId="329" shapeId="0" xr:uid="{00000000-0006-0000-0000-000011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12.7 ultrasound estimates</t>
        </r>
      </text>
    </comment>
    <comment ref="J652" authorId="330" shapeId="0" xr:uid="{00000000-0006-0000-0000-00001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0.00299*CL^2.439 (Meek 1982)</t>
        </r>
      </text>
    </comment>
    <comment ref="O652" authorId="331" shapeId="0" xr:uid="{00000000-0006-0000-0000-00001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11.7 ultrasound estimates</t>
        </r>
      </text>
    </comment>
    <comment ref="N653" authorId="10" shapeId="0" xr:uid="{00000000-0006-0000-0000-000014030000}">
      <text>
        <r>
          <rPr>
            <b/>
            <sz val="9"/>
            <color indexed="81"/>
            <rFont val="Arial"/>
            <family val="2"/>
          </rPr>
          <t>John Iverson:</t>
        </r>
        <r>
          <rPr>
            <sz val="9"/>
            <color indexed="81"/>
            <rFont val="Arial"/>
            <family val="2"/>
          </rPr>
          <t xml:space="preserve">
estimated frpm EW using average EL/EW for orbicluris popuations (1.6873)</t>
        </r>
      </text>
    </comment>
    <comment ref="P653" authorId="10" shapeId="0" xr:uid="{00000000-0006-0000-0000-000015030000}">
      <text>
        <r>
          <rPr>
            <b/>
            <sz val="9"/>
            <color indexed="81"/>
            <rFont val="Arial"/>
            <family val="2"/>
          </rPr>
          <t>John Iverson:</t>
        </r>
        <r>
          <rPr>
            <sz val="9"/>
            <color indexed="81"/>
            <rFont val="Arial"/>
            <family val="2"/>
          </rPr>
          <t xml:space="preserve">
estimated from our egg data set for E. orbicularis</t>
        </r>
      </text>
    </comment>
    <comment ref="N654" authorId="10" shapeId="0" xr:uid="{00000000-0006-0000-0000-000016030000}">
      <text>
        <r>
          <rPr>
            <b/>
            <sz val="9"/>
            <color indexed="81"/>
            <rFont val="Arial"/>
            <family val="2"/>
          </rPr>
          <t>John Iverson:</t>
        </r>
        <r>
          <rPr>
            <sz val="9"/>
            <color indexed="81"/>
            <rFont val="Arial"/>
            <family val="2"/>
          </rPr>
          <t xml:space="preserve">
estimated frpm EW using average EL/EW for orbicluris popuations (1.6873)</t>
        </r>
      </text>
    </comment>
    <comment ref="P654" authorId="10" shapeId="0" xr:uid="{00000000-0006-0000-0000-000017030000}">
      <text>
        <r>
          <rPr>
            <b/>
            <sz val="9"/>
            <color indexed="81"/>
            <rFont val="Arial"/>
            <family val="2"/>
          </rPr>
          <t>John Iverson:</t>
        </r>
        <r>
          <rPr>
            <sz val="9"/>
            <color indexed="81"/>
            <rFont val="Arial"/>
            <family val="2"/>
          </rPr>
          <t xml:space="preserve">
estimated from our egg data set for E. orbicularis</t>
        </r>
      </text>
    </comment>
    <comment ref="N655" authorId="10" shapeId="0" xr:uid="{00000000-0006-0000-0000-000018030000}">
      <text>
        <r>
          <rPr>
            <b/>
            <sz val="9"/>
            <color indexed="81"/>
            <rFont val="Arial"/>
            <family val="2"/>
          </rPr>
          <t>John Iverson:</t>
        </r>
        <r>
          <rPr>
            <sz val="9"/>
            <color indexed="81"/>
            <rFont val="Arial"/>
            <family val="2"/>
          </rPr>
          <t xml:space="preserve">
estimated from our egg data base</t>
        </r>
      </text>
    </comment>
    <comment ref="O655" authorId="10" shapeId="0" xr:uid="{00000000-0006-0000-0000-000019030000}">
      <text>
        <r>
          <rPr>
            <b/>
            <sz val="9"/>
            <color indexed="81"/>
            <rFont val="Arial"/>
            <family val="2"/>
          </rPr>
          <t>John Iverson:</t>
        </r>
        <r>
          <rPr>
            <sz val="9"/>
            <color indexed="81"/>
            <rFont val="Arial"/>
            <family val="2"/>
          </rPr>
          <t xml:space="preserve">
estimated from our egg data base</t>
        </r>
      </text>
    </comment>
    <comment ref="S655" authorId="10" shapeId="0" xr:uid="{00000000-0006-0000-0000-00001A030000}">
      <text>
        <r>
          <rPr>
            <b/>
            <sz val="9"/>
            <color indexed="81"/>
            <rFont val="Arial"/>
            <family val="2"/>
          </rPr>
          <t>John Iverson:</t>
        </r>
        <r>
          <rPr>
            <sz val="9"/>
            <color indexed="81"/>
            <rFont val="Arial"/>
            <family val="2"/>
          </rPr>
          <t xml:space="preserve">
estimated from spent body mass</t>
        </r>
      </text>
    </comment>
    <comment ref="N656" authorId="10" shapeId="0" xr:uid="{00000000-0006-0000-0000-00001B030000}">
      <text>
        <r>
          <rPr>
            <b/>
            <sz val="9"/>
            <color indexed="81"/>
            <rFont val="Arial"/>
            <family val="2"/>
          </rPr>
          <t>John Iverson:</t>
        </r>
        <r>
          <rPr>
            <sz val="9"/>
            <color indexed="81"/>
            <rFont val="Arial"/>
            <family val="2"/>
          </rPr>
          <t xml:space="preserve">
"38-42"</t>
        </r>
      </text>
    </comment>
    <comment ref="O656" authorId="10" shapeId="0" xr:uid="{00000000-0006-0000-0000-00001C030000}">
      <text>
        <r>
          <rPr>
            <b/>
            <sz val="9"/>
            <color indexed="81"/>
            <rFont val="Arial"/>
            <family val="2"/>
          </rPr>
          <t>John Iverson:</t>
        </r>
        <r>
          <rPr>
            <sz val="9"/>
            <color indexed="81"/>
            <rFont val="Arial"/>
            <family val="2"/>
          </rPr>
          <t xml:space="preserve">
"20-23"</t>
        </r>
      </text>
    </comment>
    <comment ref="P656" authorId="10" shapeId="0" xr:uid="{00000000-0006-0000-0000-00001D030000}">
      <text>
        <r>
          <rPr>
            <b/>
            <sz val="9"/>
            <color indexed="81"/>
            <rFont val="Arial"/>
            <family val="2"/>
          </rPr>
          <t>John Iverson:</t>
        </r>
        <r>
          <rPr>
            <sz val="9"/>
            <color indexed="81"/>
            <rFont val="Arial"/>
            <family val="2"/>
          </rPr>
          <t xml:space="preserve">
estinated from our egg data set</t>
        </r>
      </text>
    </comment>
    <comment ref="J658" authorId="10" shapeId="0" xr:uid="{00000000-0006-0000-0000-00001E030000}">
      <text>
        <r>
          <rPr>
            <b/>
            <sz val="9"/>
            <color indexed="81"/>
            <rFont val="Arial"/>
            <family val="2"/>
          </rPr>
          <t>John Iverson:</t>
        </r>
        <r>
          <rPr>
            <sz val="9"/>
            <color indexed="81"/>
            <rFont val="Arial"/>
            <family val="2"/>
          </rPr>
          <t xml:space="preserve">
estimated from our BM-CL regression for females</t>
        </r>
      </text>
    </comment>
    <comment ref="J659" authorId="332" shapeId="0" xr:uid="{00000000-0006-0000-0000-00001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P659" authorId="10" shapeId="0" xr:uid="{00000000-0006-0000-0000-000020030000}">
      <text>
        <r>
          <rPr>
            <b/>
            <sz val="9"/>
            <color indexed="81"/>
            <rFont val="Arial"/>
            <family val="2"/>
          </rPr>
          <t>John Iverson:</t>
        </r>
        <r>
          <rPr>
            <sz val="9"/>
            <color indexed="81"/>
            <rFont val="Arial"/>
            <family val="2"/>
          </rPr>
          <t xml:space="preserve">
estimared from our egg data set</t>
        </r>
      </text>
    </comment>
    <comment ref="J661" authorId="333" shapeId="0" xr:uid="{00000000-0006-0000-0000-000021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P661" authorId="334" shapeId="0" xr:uid="{00000000-0006-0000-0000-00002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database</t>
        </r>
      </text>
    </comment>
    <comment ref="J662" authorId="335" shapeId="0" xr:uid="{00000000-0006-0000-0000-00002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t>
        </r>
      </text>
    </comment>
    <comment ref="P662" authorId="336" shapeId="0" xr:uid="{00000000-0006-0000-0000-00002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t>
        </r>
      </text>
    </comment>
    <comment ref="J666" authorId="10" shapeId="0" xr:uid="{00000000-0006-0000-0000-000025030000}">
      <text>
        <r>
          <rPr>
            <b/>
            <sz val="9"/>
            <color indexed="81"/>
            <rFont val="Arial"/>
            <family val="2"/>
          </rPr>
          <t>John Iverson:</t>
        </r>
        <r>
          <rPr>
            <sz val="9"/>
            <color indexed="81"/>
            <rFont val="Arial"/>
            <family val="2"/>
          </rPr>
          <t xml:space="preserve">
estimated from our BM-CL regression for females</t>
        </r>
      </text>
    </comment>
    <comment ref="P666" authorId="10" shapeId="0" xr:uid="{00000000-0006-0000-0000-000026030000}">
      <text>
        <r>
          <rPr>
            <b/>
            <sz val="9"/>
            <color indexed="81"/>
            <rFont val="Arial"/>
            <family val="2"/>
          </rPr>
          <t>John Iverson:</t>
        </r>
        <r>
          <rPr>
            <sz val="9"/>
            <color indexed="81"/>
            <rFont val="Arial"/>
            <family val="2"/>
          </rPr>
          <t xml:space="preserve">
estimated from our egg data set for G. insculpta</t>
        </r>
      </text>
    </comment>
    <comment ref="J667" authorId="10" shapeId="0" xr:uid="{00000000-0006-0000-0000-000027030000}">
      <text>
        <r>
          <rPr>
            <b/>
            <sz val="9"/>
            <color indexed="81"/>
            <rFont val="Arial"/>
            <family val="2"/>
          </rPr>
          <t>John Iverson:</t>
        </r>
        <r>
          <rPr>
            <sz val="9"/>
            <color indexed="81"/>
            <rFont val="Arial"/>
            <family val="2"/>
          </rPr>
          <t xml:space="preserve">
estimated from our BM-CL regression for females</t>
        </r>
      </text>
    </comment>
    <comment ref="P667" authorId="10" shapeId="0" xr:uid="{00000000-0006-0000-0000-000028030000}">
      <text>
        <r>
          <rPr>
            <b/>
            <sz val="9"/>
            <color indexed="81"/>
            <rFont val="Arial"/>
            <family val="2"/>
          </rPr>
          <t>John Iverson:</t>
        </r>
        <r>
          <rPr>
            <sz val="9"/>
            <color indexed="81"/>
            <rFont val="Arial"/>
            <family val="2"/>
          </rPr>
          <t xml:space="preserve">
estimated from our egg data set for G. insculpta</t>
        </r>
      </text>
    </comment>
    <comment ref="J668" authorId="337" shapeId="0" xr:uid="{00000000-0006-0000-0000-000029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J669" authorId="338" shapeId="0" xr:uid="{00000000-0006-0000-0000-00002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P669" authorId="11" shapeId="0" xr:uid="{00000000-0006-0000-0000-00002B030000}">
      <text>
        <r>
          <rPr>
            <b/>
            <sz val="9"/>
            <color indexed="81"/>
            <rFont val="Tahoma"/>
            <family val="2"/>
          </rPr>
          <t>TNACI:</t>
        </r>
        <r>
          <rPr>
            <sz val="9"/>
            <color indexed="81"/>
            <rFont val="Tahoma"/>
            <family val="2"/>
          </rPr>
          <t xml:space="preserve">
estimated from EM = 0.325EL +0.787EW - 18.905 Iverson unpublished data (July 2020)</t>
        </r>
      </text>
    </comment>
    <comment ref="J670" authorId="339" shapeId="0" xr:uid="{00000000-0006-0000-0000-00002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G671" authorId="340" shapeId="0" xr:uid="{00000000-0006-0000-0000-00002D030000}">
      <text>
        <r>
          <rPr>
            <sz val="10"/>
            <color rgb="FF000000"/>
            <rFont val="Arial"/>
            <family val="2"/>
          </rPr>
          <t xml:space="preserve">
Comment:
    estimated ca. 45</t>
        </r>
      </text>
    </comment>
    <comment ref="I672" authorId="341" shapeId="0" xr:uid="{00000000-0006-0000-0000-00002E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Average of the max CL</t>
        </r>
      </text>
    </comment>
    <comment ref="J672" authorId="342" shapeId="0" xr:uid="{00000000-0006-0000-0000-00002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J673" authorId="343" shapeId="0" xr:uid="{00000000-0006-0000-0000-00003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P674" authorId="10" shapeId="0" xr:uid="{00000000-0006-0000-0000-000031030000}">
      <text>
        <r>
          <rPr>
            <b/>
            <sz val="9"/>
            <color indexed="81"/>
            <rFont val="Arial"/>
            <family val="2"/>
          </rPr>
          <t>John Iverson:</t>
        </r>
        <r>
          <rPr>
            <sz val="9"/>
            <color indexed="81"/>
            <rFont val="Arial"/>
            <family val="2"/>
          </rPr>
          <t xml:space="preserve">
estimated from our egg data set for G. insculpta</t>
        </r>
      </text>
    </comment>
    <comment ref="J675" authorId="344" shapeId="0" xr:uid="{00000000-0006-0000-0000-00003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Iverson and Smith 1993</t>
        </r>
      </text>
    </comment>
    <comment ref="S676" authorId="345" shapeId="0" xr:uid="{00000000-0006-0000-0000-00003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K677" authorId="346" shapeId="0" xr:uid="{00000000-0006-0000-0000-00003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~6</t>
        </r>
      </text>
    </comment>
    <comment ref="P680" authorId="10" shapeId="0" xr:uid="{00000000-0006-0000-0000-000035030000}">
      <text>
        <r>
          <rPr>
            <b/>
            <sz val="9"/>
            <color indexed="81"/>
            <rFont val="Arial"/>
            <family val="2"/>
          </rPr>
          <t>John Iverson:</t>
        </r>
        <r>
          <rPr>
            <sz val="9"/>
            <color indexed="81"/>
            <rFont val="Arial"/>
            <family val="2"/>
          </rPr>
          <t xml:space="preserve">
estimated from our egg data set</t>
        </r>
      </text>
    </comment>
    <comment ref="K684" authorId="347" shapeId="0" xr:uid="{00000000-0006-0000-0000-000036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4-5 reported</t>
        </r>
      </text>
    </comment>
    <comment ref="J685" authorId="348" shapeId="0" xr:uid="{00000000-0006-0000-0000-000037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 muhlenbergii from Zappalorti (unpublished)</t>
        </r>
      </text>
    </comment>
    <comment ref="P685" authorId="349" shapeId="0" xr:uid="{00000000-0006-0000-0000-00003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J687" authorId="350" shapeId="0" xr:uid="{00000000-0006-0000-0000-000039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 muhlenbergii from Zappalorti (unpublished)</t>
        </r>
      </text>
    </comment>
    <comment ref="P687" authorId="10" shapeId="0" xr:uid="{00000000-0006-0000-0000-00003A030000}">
      <text>
        <r>
          <rPr>
            <b/>
            <sz val="9"/>
            <color indexed="81"/>
            <rFont val="Arial"/>
            <family val="2"/>
          </rPr>
          <t>John Iverson:</t>
        </r>
        <r>
          <rPr>
            <sz val="9"/>
            <color indexed="81"/>
            <rFont val="Arial"/>
            <family val="2"/>
          </rPr>
          <t xml:space="preserve">
estimated from our egg data set</t>
        </r>
      </text>
    </comment>
    <comment ref="P688" authorId="11" shapeId="0" xr:uid="{00000000-0006-0000-0000-00003B030000}">
      <text>
        <r>
          <rPr>
            <b/>
            <sz val="9"/>
            <color indexed="81"/>
            <rFont val="Tahoma"/>
            <family val="2"/>
          </rPr>
          <t>TNACI:</t>
        </r>
        <r>
          <rPr>
            <sz val="9"/>
            <color indexed="81"/>
            <rFont val="Tahoma"/>
            <family val="2"/>
          </rPr>
          <t xml:space="preserve">
estimated from EM = 0.159EL + 0.492EW - 7.750 Iverson unpublished data (July 2020)</t>
        </r>
      </text>
    </comment>
    <comment ref="J689" authorId="351" shapeId="0" xr:uid="{00000000-0006-0000-0000-00003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 muhlenbergii from Zappalorti (unpublished)</t>
        </r>
      </text>
    </comment>
    <comment ref="P689" authorId="10" shapeId="0" xr:uid="{00000000-0006-0000-0000-00003D030000}">
      <text>
        <r>
          <rPr>
            <b/>
            <sz val="9"/>
            <color indexed="81"/>
            <rFont val="Arial"/>
            <family val="2"/>
          </rPr>
          <t>John Iverson:</t>
        </r>
        <r>
          <rPr>
            <sz val="9"/>
            <color indexed="81"/>
            <rFont val="Arial"/>
            <family val="2"/>
          </rPr>
          <t xml:space="preserve">
estimated from our egg data set</t>
        </r>
      </text>
    </comment>
    <comment ref="G691" authorId="352" shapeId="0" xr:uid="{00000000-0006-0000-0000-00003E030000}">
      <text>
        <r>
          <rPr>
            <sz val="10"/>
            <color rgb="FF000000"/>
            <rFont val="Arial"/>
            <family val="2"/>
          </rPr>
          <t xml:space="preserve">
Comment:
    estimated from 40.05-40.83</t>
        </r>
      </text>
    </comment>
    <comment ref="J691" authorId="353" shapeId="0" xr:uid="{00000000-0006-0000-0000-00003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 muhlenbergii from Zappalorti (unpublished)</t>
        </r>
      </text>
    </comment>
    <comment ref="P691" authorId="10" shapeId="0" xr:uid="{00000000-0006-0000-0000-000040030000}">
      <text>
        <r>
          <rPr>
            <b/>
            <sz val="9"/>
            <color indexed="81"/>
            <rFont val="Arial"/>
            <family val="2"/>
          </rPr>
          <t>John Iverson:</t>
        </r>
        <r>
          <rPr>
            <sz val="9"/>
            <color indexed="81"/>
            <rFont val="Arial"/>
            <family val="2"/>
          </rPr>
          <t xml:space="preserve">
estimated from our egg data set</t>
        </r>
      </text>
    </comment>
    <comment ref="I692" authorId="10" shapeId="0" xr:uid="{00000000-0006-0000-0000-000041030000}">
      <text>
        <r>
          <rPr>
            <b/>
            <sz val="9"/>
            <color indexed="81"/>
            <rFont val="Arial"/>
            <family val="2"/>
          </rPr>
          <t>John Iverson:</t>
        </r>
        <r>
          <rPr>
            <sz val="9"/>
            <color indexed="81"/>
            <rFont val="Arial"/>
            <family val="2"/>
          </rPr>
          <t xml:space="preserve">
PL = 23.057; CL estimated from PL/CL ratio in paper: 0.847</t>
        </r>
      </text>
    </comment>
    <comment ref="J692" authorId="354" shapeId="0" xr:uid="{00000000-0006-0000-0000-00004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dataset using Graptemys pulchra</t>
        </r>
      </text>
    </comment>
    <comment ref="P692" authorId="10" shapeId="0" xr:uid="{00000000-0006-0000-0000-000043030000}">
      <text>
        <r>
          <rPr>
            <b/>
            <sz val="9"/>
            <color indexed="81"/>
            <rFont val="Arial"/>
            <family val="2"/>
          </rPr>
          <t>John Iverson:</t>
        </r>
        <r>
          <rPr>
            <sz val="9"/>
            <color indexed="81"/>
            <rFont val="Arial"/>
            <family val="2"/>
          </rPr>
          <t xml:space="preserve">
estimated from our egg data set</t>
        </r>
      </text>
    </comment>
    <comment ref="O694" authorId="10" shapeId="0" xr:uid="{00000000-0006-0000-0000-000044030000}">
      <text>
        <r>
          <rPr>
            <b/>
            <sz val="9"/>
            <color indexed="81"/>
            <rFont val="Arial"/>
            <family val="2"/>
          </rPr>
          <t>John Iverson:</t>
        </r>
        <r>
          <rPr>
            <sz val="9"/>
            <color indexed="81"/>
            <rFont val="Arial"/>
            <family val="2"/>
          </rPr>
          <t xml:space="preserve">
Estimated from egg mass data set</t>
        </r>
      </text>
    </comment>
    <comment ref="T694" authorId="7" shapeId="0" xr:uid="{00000000-0006-0000-0000-000045030000}">
      <text>
        <r>
          <rPr>
            <b/>
            <sz val="9"/>
            <color indexed="81"/>
            <rFont val="Tahoma"/>
            <family val="2"/>
          </rPr>
          <t>JEnnen:</t>
        </r>
        <r>
          <rPr>
            <sz val="9"/>
            <color indexed="81"/>
            <rFont val="Tahoma"/>
            <family val="2"/>
          </rPr>
          <t xml:space="preserve">
1-4 reported</t>
        </r>
      </text>
    </comment>
    <comment ref="N695" authorId="10" shapeId="0" xr:uid="{00000000-0006-0000-0000-000046030000}">
      <text>
        <r>
          <rPr>
            <b/>
            <sz val="9"/>
            <color indexed="81"/>
            <rFont val="Arial"/>
            <family val="2"/>
          </rPr>
          <t>John Iverson:</t>
        </r>
        <r>
          <rPr>
            <sz val="9"/>
            <color indexed="81"/>
            <rFont val="Arial"/>
            <family val="2"/>
          </rPr>
          <t xml:space="preserve">
estimated from our egg data set</t>
        </r>
      </text>
    </comment>
    <comment ref="O695" authorId="10" shapeId="0" xr:uid="{00000000-0006-0000-0000-000047030000}">
      <text>
        <r>
          <rPr>
            <b/>
            <sz val="9"/>
            <color indexed="81"/>
            <rFont val="Arial"/>
            <family val="2"/>
          </rPr>
          <t>John Iverson:</t>
        </r>
        <r>
          <rPr>
            <sz val="9"/>
            <color indexed="81"/>
            <rFont val="Arial"/>
            <family val="2"/>
          </rPr>
          <t xml:space="preserve">
estimated from our egg data set</t>
        </r>
      </text>
    </comment>
    <comment ref="P695" authorId="10" shapeId="0" xr:uid="{00000000-0006-0000-0000-000048030000}">
      <text>
        <r>
          <rPr>
            <b/>
            <sz val="9"/>
            <color indexed="81"/>
            <rFont val="Arial"/>
            <family val="2"/>
          </rPr>
          <t>John Iverson:</t>
        </r>
        <r>
          <rPr>
            <sz val="9"/>
            <color indexed="81"/>
            <rFont val="Arial"/>
            <family val="2"/>
          </rPr>
          <t xml:space="preserve">
"12.4-13.4"
</t>
        </r>
      </text>
    </comment>
    <comment ref="P696" authorId="355" shapeId="0" xr:uid="{00000000-0006-0000-0000-000049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(July 2020)</t>
        </r>
      </text>
    </comment>
    <comment ref="I699" authorId="356" shapeId="0" xr:uid="{00000000-0006-0000-0000-00004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Fig. 24”</t>
        </r>
      </text>
    </comment>
    <comment ref="J699" authorId="357" shapeId="0" xr:uid="{00000000-0006-0000-0000-00004B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dataset using Graptemys pulchra from Lindeman (unpublished)</t>
        </r>
      </text>
    </comment>
    <comment ref="P699" authorId="358" shapeId="0" xr:uid="{00000000-0006-0000-0000-00004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G. barbouri (Oct 2020)</t>
        </r>
      </text>
    </comment>
    <comment ref="T699" authorId="359" shapeId="0" xr:uid="{00000000-0006-0000-0000-00004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1-6</t>
        </r>
      </text>
    </comment>
    <comment ref="J701" authorId="360" shapeId="0" xr:uid="{00000000-0006-0000-0000-00004E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dataset using Graptemys nigrinoda from Roddewig (2010)</t>
        </r>
      </text>
    </comment>
    <comment ref="O701" authorId="10" shapeId="0" xr:uid="{00000000-0006-0000-0000-00004F030000}">
      <text>
        <r>
          <rPr>
            <b/>
            <sz val="9"/>
            <color indexed="81"/>
            <rFont val="Arial"/>
            <family val="2"/>
          </rPr>
          <t>John Iverson:</t>
        </r>
        <r>
          <rPr>
            <sz val="9"/>
            <color indexed="81"/>
            <rFont val="Arial"/>
            <family val="2"/>
          </rPr>
          <t xml:space="preserve">
Estimated from Egg data set</t>
        </r>
      </text>
    </comment>
    <comment ref="T701" authorId="7" shapeId="0" xr:uid="{00000000-0006-0000-0000-000050030000}">
      <text>
        <r>
          <rPr>
            <b/>
            <sz val="9"/>
            <color indexed="81"/>
            <rFont val="Tahoma"/>
            <family val="2"/>
          </rPr>
          <t>JEnnen:</t>
        </r>
        <r>
          <rPr>
            <sz val="9"/>
            <color indexed="81"/>
            <rFont val="Tahoma"/>
            <family val="2"/>
          </rPr>
          <t xml:space="preserve">
0-5 reported</t>
        </r>
      </text>
    </comment>
    <comment ref="J702" authorId="361" shapeId="0" xr:uid="{00000000-0006-0000-0000-000051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dataset using Graptemys nigrinoda from Roddewig (2010)</t>
        </r>
      </text>
    </comment>
    <comment ref="O702" authorId="10" shapeId="0" xr:uid="{00000000-0006-0000-0000-000052030000}">
      <text>
        <r>
          <rPr>
            <b/>
            <sz val="9"/>
            <color indexed="81"/>
            <rFont val="Arial"/>
            <family val="2"/>
          </rPr>
          <t>John Iverson:</t>
        </r>
        <r>
          <rPr>
            <sz val="9"/>
            <color indexed="81"/>
            <rFont val="Arial"/>
            <family val="2"/>
          </rPr>
          <t xml:space="preserve">
Estimated from Egg data set</t>
        </r>
      </text>
    </comment>
    <comment ref="J703" authorId="362" shapeId="0" xr:uid="{00000000-0006-0000-0000-00005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dataset using Graptemys nigrinoda from Roddewig (2010)</t>
        </r>
      </text>
    </comment>
    <comment ref="J704" authorId="363" shapeId="0" xr:uid="{00000000-0006-0000-0000-00005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dataset using Graptemys nigrinoda from Roddewig (2010)</t>
        </r>
      </text>
    </comment>
    <comment ref="P704" authorId="11" shapeId="0" xr:uid="{00000000-0006-0000-0000-000055030000}">
      <text>
        <r>
          <rPr>
            <b/>
            <sz val="9"/>
            <color indexed="81"/>
            <rFont val="Tahoma"/>
            <family val="2"/>
          </rPr>
          <t>TNACI:</t>
        </r>
        <r>
          <rPr>
            <sz val="9"/>
            <color indexed="81"/>
            <rFont val="Tahoma"/>
            <family val="2"/>
          </rPr>
          <t xml:space="preserve">
estiamted from EM = 0.434EL + 0.777EW - 21.593 Iverson unpublished data (July 2020)</t>
        </r>
      </text>
    </comment>
    <comment ref="J705" authorId="10" shapeId="0" xr:uid="{00000000-0006-0000-0000-000056030000}">
      <text>
        <r>
          <rPr>
            <b/>
            <sz val="9"/>
            <color indexed="81"/>
            <rFont val="Arial"/>
            <family val="2"/>
          </rPr>
          <t>John Iverson:</t>
        </r>
        <r>
          <rPr>
            <sz val="9"/>
            <color indexed="81"/>
            <rFont val="Arial"/>
            <family val="2"/>
          </rPr>
          <t xml:space="preserve">
estimated from BM-CL data in Iverson et al. 2019</t>
        </r>
      </text>
    </comment>
    <comment ref="P705" authorId="10" shapeId="0" xr:uid="{00000000-0006-0000-0000-000057030000}">
      <text>
        <r>
          <rPr>
            <b/>
            <sz val="9"/>
            <color indexed="81"/>
            <rFont val="Arial"/>
            <family val="2"/>
          </rPr>
          <t>John Iverson:</t>
        </r>
        <r>
          <rPr>
            <sz val="9"/>
            <color indexed="81"/>
            <rFont val="Arial"/>
            <family val="2"/>
          </rPr>
          <t xml:space="preserve">
estimated from our egg data set</t>
        </r>
      </text>
    </comment>
    <comment ref="J707" authorId="364" shapeId="0" xr:uid="{00000000-0006-0000-0000-00005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Iverson 1984 (Sept 2020)</t>
        </r>
      </text>
    </comment>
    <comment ref="I710" authorId="365" shapeId="0" xr:uid="{00000000-0006-0000-0000-000059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20.38; estimate using 0.890 from Iverson et al (2019)</t>
        </r>
      </text>
    </comment>
    <comment ref="J710" authorId="366" shapeId="0" xr:uid="{00000000-0006-0000-0000-00005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Iverson 1984 (Sept 2020)</t>
        </r>
      </text>
    </comment>
    <comment ref="N710" authorId="11" shapeId="0" xr:uid="{00000000-0006-0000-0000-00005B030000}">
      <text>
        <r>
          <rPr>
            <b/>
            <sz val="9"/>
            <color indexed="81"/>
            <rFont val="Tahoma"/>
            <family val="2"/>
          </rPr>
          <t>TNACI:</t>
        </r>
        <r>
          <rPr>
            <sz val="9"/>
            <color indexed="81"/>
            <rFont val="Tahoma"/>
            <family val="2"/>
          </rPr>
          <t xml:space="preserve">
estimated from EM = 0.316EL + 0.818EW - 19.060 Iverson unpublished data (July 2020)</t>
        </r>
      </text>
    </comment>
    <comment ref="P711" authorId="1" shapeId="0" xr:uid="{00000000-0006-0000-0000-00005C030000}">
      <text>
        <r>
          <rPr>
            <sz val="10"/>
            <color rgb="FF000000"/>
            <rFont val="Arial"/>
            <family val="2"/>
          </rPr>
          <t xml:space="preserve">estiamted from our egg regression database </t>
        </r>
      </text>
    </comment>
    <comment ref="K712" authorId="7" shapeId="0" xr:uid="{00000000-0006-0000-0000-00005D030000}">
      <text>
        <r>
          <rPr>
            <b/>
            <sz val="9"/>
            <color indexed="81"/>
            <rFont val="Tahoma"/>
            <family val="2"/>
          </rPr>
          <t>JEnnen:</t>
        </r>
        <r>
          <rPr>
            <sz val="9"/>
            <color indexed="81"/>
            <rFont val="Tahoma"/>
            <family val="2"/>
          </rPr>
          <t xml:space="preserve">
9-10 reported</t>
        </r>
      </text>
    </comment>
    <comment ref="I714" authorId="367" shapeId="0" xr:uid="{00000000-0006-0000-0000-00005E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G. pulchra (oct 2020)</t>
        </r>
      </text>
    </comment>
    <comment ref="R714" authorId="368" shapeId="0" xr:uid="{00000000-0006-0000-0000-00005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85 is reported in the paper but 13.9*7.5 = 104.25, so data is inconsistent.</t>
        </r>
      </text>
    </comment>
    <comment ref="S714" authorId="369" shapeId="0" xr:uid="{00000000-0006-0000-0000-00006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published data in table are inconsistent. From our calculations, this should be 5.</t>
        </r>
      </text>
    </comment>
    <comment ref="K715" authorId="370" shapeId="0" xr:uid="{00000000-0006-0000-0000-000061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8-9 reported</t>
        </r>
      </text>
    </comment>
    <comment ref="F716" authorId="371" shapeId="0" xr:uid="{00000000-0006-0000-0000-000062030000}">
      <text>
        <r>
          <rPr>
            <sz val="10"/>
            <color rgb="FF000000"/>
            <rFont val="Arial"/>
            <family val="2"/>
          </rPr>
          <t>[
Comment:
    from delticola area</t>
        </r>
      </text>
    </comment>
    <comment ref="J716" authorId="372" shapeId="0" xr:uid="{00000000-0006-0000-0000-00006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0.18863*CL^2.8964 in Roddewig 2010</t>
        </r>
      </text>
    </comment>
    <comment ref="O716" authorId="10" shapeId="0" xr:uid="{00000000-0006-0000-0000-000064030000}">
      <text>
        <r>
          <rPr>
            <b/>
            <sz val="9"/>
            <color indexed="81"/>
            <rFont val="Arial"/>
            <family val="2"/>
          </rPr>
          <t>John Iverson:</t>
        </r>
        <r>
          <rPr>
            <sz val="9"/>
            <color indexed="81"/>
            <rFont val="Arial"/>
            <family val="2"/>
          </rPr>
          <t xml:space="preserve">
Estimated from egg mass data set</t>
        </r>
      </text>
    </comment>
    <comment ref="J718" authorId="373" shapeId="0" xr:uid="{00000000-0006-0000-0000-000065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0.18863*CL^2.8964 in Roddewig 2010</t>
        </r>
      </text>
    </comment>
    <comment ref="P718" authorId="10" shapeId="0" xr:uid="{00000000-0006-0000-0000-000066030000}">
      <text>
        <r>
          <rPr>
            <b/>
            <sz val="9"/>
            <color indexed="81"/>
            <rFont val="Arial"/>
            <family val="2"/>
          </rPr>
          <t>John Iverson:</t>
        </r>
        <r>
          <rPr>
            <sz val="9"/>
            <color indexed="81"/>
            <rFont val="Arial"/>
            <family val="2"/>
          </rPr>
          <t xml:space="preserve">
estimated from our egg data set</t>
        </r>
      </text>
    </comment>
    <comment ref="I719" authorId="10" shapeId="0" xr:uid="{00000000-0006-0000-0000-000067030000}">
      <text>
        <r>
          <rPr>
            <b/>
            <sz val="9"/>
            <color indexed="81"/>
            <rFont val="Arial"/>
            <family val="2"/>
          </rPr>
          <t>John Iverson:</t>
        </r>
        <r>
          <rPr>
            <sz val="9"/>
            <color indexed="81"/>
            <rFont val="Arial"/>
            <family val="2"/>
          </rPr>
          <t xml:space="preserve">
PL = 15.91; estimated from unpublised data from Lindeman</t>
        </r>
      </text>
    </comment>
    <comment ref="J719" authorId="374" shapeId="0" xr:uid="{00000000-0006-0000-0000-00006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0.18863*CL^2.8964 in Roddewig 2010</t>
        </r>
      </text>
    </comment>
    <comment ref="P719" authorId="375" shapeId="0" xr:uid="{00000000-0006-0000-0000-000069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I720" authorId="10" shapeId="0" xr:uid="{00000000-0006-0000-0000-00006A030000}">
      <text>
        <r>
          <rPr>
            <b/>
            <sz val="9"/>
            <color indexed="81"/>
            <rFont val="Arial"/>
            <family val="2"/>
          </rPr>
          <t>John Iverson:</t>
        </r>
        <r>
          <rPr>
            <sz val="9"/>
            <color indexed="81"/>
            <rFont val="Arial"/>
            <family val="2"/>
          </rPr>
          <t xml:space="preserve">
PL = 16.06; CL estimated from mean PL/CL from Lahanas 1982 thesis and J. Lovich unpublished: 0.901.</t>
        </r>
      </text>
    </comment>
    <comment ref="J720" authorId="10" shapeId="0" xr:uid="{00000000-0006-0000-0000-00006B030000}">
      <text>
        <r>
          <rPr>
            <b/>
            <sz val="9"/>
            <color indexed="81"/>
            <rFont val="Arial"/>
            <family val="2"/>
          </rPr>
          <t>John Iverson:</t>
        </r>
        <r>
          <rPr>
            <sz val="9"/>
            <color indexed="81"/>
            <rFont val="Arial"/>
            <family val="2"/>
          </rPr>
          <t xml:space="preserve">
estimated from our BM-CL data set for this species</t>
        </r>
      </text>
    </comment>
    <comment ref="N720" authorId="10" shapeId="0" xr:uid="{00000000-0006-0000-0000-00006C030000}">
      <text>
        <r>
          <rPr>
            <b/>
            <sz val="9"/>
            <color indexed="81"/>
            <rFont val="Arial"/>
            <family val="2"/>
          </rPr>
          <t>John Iverson:</t>
        </r>
        <r>
          <rPr>
            <sz val="9"/>
            <color indexed="81"/>
            <rFont val="Arial"/>
            <family val="2"/>
          </rPr>
          <t xml:space="preserve">
estimated from our egg data set for this species</t>
        </r>
      </text>
    </comment>
    <comment ref="P720" authorId="10" shapeId="0" xr:uid="{00000000-0006-0000-0000-00006D030000}">
      <text>
        <r>
          <rPr>
            <b/>
            <sz val="9"/>
            <color indexed="81"/>
            <rFont val="Arial"/>
            <family val="2"/>
          </rPr>
          <t>John Iverson:</t>
        </r>
        <r>
          <rPr>
            <sz val="9"/>
            <color indexed="81"/>
            <rFont val="Arial"/>
            <family val="2"/>
          </rPr>
          <t xml:space="preserve">
estmated from our egg data set for this species</t>
        </r>
      </text>
    </comment>
    <comment ref="J721" authorId="376" shapeId="0" xr:uid="{00000000-0006-0000-0000-00006E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0.18863*CL^2.8964 in Roddewig 2010</t>
        </r>
      </text>
    </comment>
    <comment ref="P721" authorId="377" shapeId="0" xr:uid="{00000000-0006-0000-0000-00006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G. nigrinoda</t>
        </r>
      </text>
    </comment>
    <comment ref="K722" authorId="7" shapeId="0" xr:uid="{00000000-0006-0000-0000-000070030000}">
      <text>
        <r>
          <rPr>
            <b/>
            <sz val="9"/>
            <color indexed="81"/>
            <rFont val="Tahoma"/>
            <family val="2"/>
          </rPr>
          <t>JEnnen:</t>
        </r>
        <r>
          <rPr>
            <sz val="9"/>
            <color indexed="81"/>
            <rFont val="Tahoma"/>
            <family val="2"/>
          </rPr>
          <t xml:space="preserve">
10-16 reported</t>
        </r>
      </text>
    </comment>
    <comment ref="T722" authorId="7" shapeId="0" xr:uid="{00000000-0006-0000-0000-000071030000}">
      <text>
        <r>
          <rPr>
            <b/>
            <sz val="9"/>
            <color indexed="81"/>
            <rFont val="Tahoma"/>
            <family val="2"/>
          </rPr>
          <t>JEnnen:</t>
        </r>
        <r>
          <rPr>
            <sz val="9"/>
            <color indexed="81"/>
            <rFont val="Tahoma"/>
            <family val="2"/>
          </rPr>
          <t xml:space="preserve">
1-2 reported</t>
        </r>
      </text>
    </comment>
    <comment ref="J723" authorId="378" shapeId="0" xr:uid="{00000000-0006-0000-0000-00007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0.18863*CL^2.8964 in Roddewig 2010</t>
        </r>
      </text>
    </comment>
    <comment ref="J724" authorId="379" shapeId="0" xr:uid="{00000000-0006-0000-0000-00007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Lindeman</t>
        </r>
      </text>
    </comment>
    <comment ref="J725" authorId="380" shapeId="0" xr:uid="{00000000-0006-0000-0000-00007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Lindeman</t>
        </r>
      </text>
    </comment>
    <comment ref="G727" authorId="10" shapeId="0" xr:uid="{00000000-0006-0000-0000-000075030000}">
      <text>
        <r>
          <rPr>
            <b/>
            <sz val="9"/>
            <color indexed="81"/>
            <rFont val="Arial"/>
            <family val="2"/>
          </rPr>
          <t>John Iverson:</t>
        </r>
        <r>
          <rPr>
            <sz val="9"/>
            <color indexed="81"/>
            <rFont val="Arial"/>
            <family val="2"/>
          </rPr>
          <t xml:space="preserve">
Red River</t>
        </r>
      </text>
    </comment>
    <comment ref="I727" authorId="10" shapeId="0" xr:uid="{00000000-0006-0000-0000-000076030000}">
      <text>
        <r>
          <rPr>
            <b/>
            <sz val="9"/>
            <color indexed="81"/>
            <rFont val="Arial"/>
            <family val="2"/>
          </rPr>
          <t>John Iverson:</t>
        </r>
        <r>
          <rPr>
            <sz val="9"/>
            <color indexed="81"/>
            <rFont val="Arial"/>
            <family val="2"/>
          </rPr>
          <t xml:space="preserve">
PL = 15.73</t>
        </r>
      </text>
    </comment>
    <comment ref="J727" authorId="381" shapeId="0" xr:uid="{00000000-0006-0000-0000-000077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using Lindeman unpublished</t>
        </r>
      </text>
    </comment>
    <comment ref="J729" authorId="382" shapeId="0" xr:uid="{00000000-0006-0000-0000-00007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using Lindeman unpublished</t>
        </r>
      </text>
    </comment>
    <comment ref="K729" authorId="7" shapeId="0" xr:uid="{00000000-0006-0000-0000-000079030000}">
      <text>
        <r>
          <rPr>
            <b/>
            <sz val="9"/>
            <color indexed="81"/>
            <rFont val="Tahoma"/>
            <family val="2"/>
          </rPr>
          <t>JEnnen:</t>
        </r>
        <r>
          <rPr>
            <sz val="9"/>
            <color indexed="81"/>
            <rFont val="Tahoma"/>
            <family val="2"/>
          </rPr>
          <t xml:space="preserve">
5-6 reported</t>
        </r>
      </text>
    </comment>
    <comment ref="P729" authorId="10" shapeId="0" xr:uid="{00000000-0006-0000-0000-00007A030000}">
      <text>
        <r>
          <rPr>
            <b/>
            <sz val="9"/>
            <color indexed="81"/>
            <rFont val="Arial"/>
            <family val="2"/>
          </rPr>
          <t>John Iverson:</t>
        </r>
        <r>
          <rPr>
            <sz val="9"/>
            <color indexed="81"/>
            <rFont val="Arial"/>
            <family val="2"/>
          </rPr>
          <t xml:space="preserve">
estimated from our egg data set</t>
        </r>
      </text>
    </comment>
    <comment ref="G730" authorId="383" shapeId="0" xr:uid="{00000000-0006-0000-0000-00007B030000}">
      <text>
        <r>
          <rPr>
            <sz val="10"/>
            <color rgb="FF000000"/>
            <rFont val="Arial"/>
            <family val="2"/>
          </rPr>
          <t xml:space="preserve">
Comment:
    Not given by author, but was estimated.</t>
        </r>
      </text>
    </comment>
    <comment ref="I731" authorId="384" shapeId="0" xr:uid="{00000000-0006-0000-0000-00007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G. pulchra (oct 2020)</t>
        </r>
      </text>
    </comment>
    <comment ref="R731" authorId="385" shapeId="0" xr:uid="{00000000-0006-0000-0000-00007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published data in table are inconsistent</t>
        </r>
      </text>
    </comment>
    <comment ref="I733" authorId="10" shapeId="0" xr:uid="{00000000-0006-0000-0000-00007E030000}">
      <text>
        <r>
          <rPr>
            <b/>
            <sz val="9"/>
            <color indexed="81"/>
            <rFont val="Arial"/>
            <family val="2"/>
          </rPr>
          <t>John Iverson:</t>
        </r>
        <r>
          <rPr>
            <sz val="9"/>
            <color indexed="81"/>
            <rFont val="Arial"/>
            <family val="2"/>
          </rPr>
          <t xml:space="preserve">
PL = 16.8; PL/CL = 0.903541 from G. ouachitensis</t>
        </r>
      </text>
    </comment>
    <comment ref="J733" authorId="386" shapeId="0" xr:uid="{00000000-0006-0000-0000-00007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Lindeman</t>
        </r>
      </text>
    </comment>
    <comment ref="P734" authorId="387" shapeId="0" xr:uid="{00000000-0006-0000-0000-00008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Moll unpub. data (Oct 2020)</t>
        </r>
      </text>
    </comment>
    <comment ref="I736" authorId="10" shapeId="0" xr:uid="{00000000-0006-0000-0000-000081030000}">
      <text>
        <r>
          <rPr>
            <b/>
            <sz val="9"/>
            <color indexed="81"/>
            <rFont val="Arial"/>
            <family val="2"/>
          </rPr>
          <t>John Iverson:</t>
        </r>
        <r>
          <rPr>
            <sz val="9"/>
            <color indexed="81"/>
            <rFont val="Arial"/>
            <family val="2"/>
          </rPr>
          <t xml:space="preserve">
PL = 20.2; PL/CL = 0.903541 from G. ouachitensis</t>
        </r>
      </text>
    </comment>
    <comment ref="J736" authorId="388" shapeId="0" xr:uid="{00000000-0006-0000-0000-00008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Lindeman</t>
        </r>
      </text>
    </comment>
    <comment ref="P736" authorId="10" shapeId="0" xr:uid="{00000000-0006-0000-0000-000083030000}">
      <text>
        <r>
          <rPr>
            <b/>
            <sz val="9"/>
            <color indexed="81"/>
            <rFont val="Arial"/>
            <family val="2"/>
          </rPr>
          <t>John Iverson:</t>
        </r>
        <r>
          <rPr>
            <sz val="9"/>
            <color indexed="81"/>
            <rFont val="Arial"/>
            <family val="2"/>
          </rPr>
          <t xml:space="preserve">
estimated from our egg data set</t>
        </r>
      </text>
    </comment>
    <comment ref="J738" authorId="389" shapeId="0" xr:uid="{00000000-0006-0000-0000-00008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 set Lindeman</t>
        </r>
      </text>
    </comment>
    <comment ref="P738" authorId="390" shapeId="0" xr:uid="{00000000-0006-0000-0000-000085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Moll unpub. data (Oct 2020)</t>
        </r>
      </text>
    </comment>
    <comment ref="T738" authorId="7" shapeId="0" xr:uid="{00000000-0006-0000-0000-000086030000}">
      <text>
        <r>
          <rPr>
            <b/>
            <sz val="9"/>
            <color indexed="81"/>
            <rFont val="Tahoma"/>
            <family val="2"/>
          </rPr>
          <t>JEnnen:</t>
        </r>
        <r>
          <rPr>
            <sz val="9"/>
            <color indexed="81"/>
            <rFont val="Tahoma"/>
            <family val="2"/>
          </rPr>
          <t xml:space="preserve">
1-2 reported</t>
        </r>
      </text>
    </comment>
    <comment ref="O741" authorId="10" shapeId="0" xr:uid="{00000000-0006-0000-0000-000087030000}">
      <text>
        <r>
          <rPr>
            <b/>
            <sz val="9"/>
            <color indexed="81"/>
            <rFont val="Arial"/>
            <family val="2"/>
          </rPr>
          <t>John Iverson:</t>
        </r>
        <r>
          <rPr>
            <sz val="9"/>
            <color indexed="81"/>
            <rFont val="Arial"/>
            <family val="2"/>
          </rPr>
          <t xml:space="preserve">
Estimated from egg mass data set</t>
        </r>
      </text>
    </comment>
    <comment ref="T741" authorId="7" shapeId="0" xr:uid="{00000000-0006-0000-0000-000088030000}">
      <text>
        <r>
          <rPr>
            <b/>
            <sz val="9"/>
            <color indexed="81"/>
            <rFont val="Tahoma"/>
            <family val="2"/>
          </rPr>
          <t>JEnnen:</t>
        </r>
        <r>
          <rPr>
            <sz val="9"/>
            <color indexed="81"/>
            <rFont val="Tahoma"/>
            <family val="2"/>
          </rPr>
          <t xml:space="preserve">
1-2 reported</t>
        </r>
      </text>
    </comment>
    <comment ref="I742" authorId="10" shapeId="0" xr:uid="{00000000-0006-0000-0000-000089030000}">
      <text>
        <r>
          <rPr>
            <b/>
            <sz val="9"/>
            <color indexed="81"/>
            <rFont val="Arial"/>
            <family val="2"/>
          </rPr>
          <t>John Iverson:</t>
        </r>
        <r>
          <rPr>
            <sz val="9"/>
            <color indexed="81"/>
            <rFont val="Arial"/>
            <family val="2"/>
          </rPr>
          <t xml:space="preserve">
19.96 = PL; estimated from PL/CL = 0.876509 from Lindeman (unpubl. Data).</t>
        </r>
      </text>
    </comment>
    <comment ref="J742" authorId="391" shapeId="0" xr:uid="{00000000-0006-0000-0000-00008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database (Jan 2021)</t>
        </r>
      </text>
    </comment>
    <comment ref="P742" authorId="10" shapeId="0" xr:uid="{00000000-0006-0000-0000-00008B030000}">
      <text>
        <r>
          <rPr>
            <b/>
            <sz val="9"/>
            <color indexed="81"/>
            <rFont val="Arial"/>
            <family val="2"/>
          </rPr>
          <t>John Iverson:</t>
        </r>
        <r>
          <rPr>
            <sz val="9"/>
            <color indexed="81"/>
            <rFont val="Arial"/>
            <family val="2"/>
          </rPr>
          <t xml:space="preserve">
estmated from our egg data set</t>
        </r>
      </text>
    </comment>
    <comment ref="I743" authorId="10" shapeId="0" xr:uid="{00000000-0006-0000-0000-00008C030000}">
      <text>
        <r>
          <rPr>
            <b/>
            <sz val="9"/>
            <color indexed="81"/>
            <rFont val="Arial"/>
            <family val="2"/>
          </rPr>
          <t>John Iverson:</t>
        </r>
        <r>
          <rPr>
            <sz val="9"/>
            <color indexed="81"/>
            <rFont val="Arial"/>
            <family val="2"/>
          </rPr>
          <t xml:space="preserve">
PL = 19.83; CL estimated from mean PL/CL from Coleman 2020 CCB and J. Lovich unpublished: 0.891.</t>
        </r>
      </text>
    </comment>
    <comment ref="J743" authorId="10" shapeId="0" xr:uid="{00000000-0006-0000-0000-00008D030000}">
      <text>
        <r>
          <rPr>
            <b/>
            <sz val="9"/>
            <color indexed="81"/>
            <rFont val="Arial"/>
            <family val="2"/>
          </rPr>
          <t>John Iverson:</t>
        </r>
        <r>
          <rPr>
            <sz val="9"/>
            <color indexed="81"/>
            <rFont val="Arial"/>
            <family val="2"/>
          </rPr>
          <t xml:space="preserve">
estimated from our BM-CL data set for this species.</t>
        </r>
      </text>
    </comment>
    <comment ref="N743" authorId="10" shapeId="0" xr:uid="{00000000-0006-0000-0000-00008E030000}">
      <text>
        <r>
          <rPr>
            <b/>
            <sz val="9"/>
            <color indexed="81"/>
            <rFont val="Arial"/>
            <family val="2"/>
          </rPr>
          <t>John Iverson:</t>
        </r>
        <r>
          <rPr>
            <sz val="9"/>
            <color indexed="81"/>
            <rFont val="Arial"/>
            <family val="2"/>
          </rPr>
          <t xml:space="preserve">
estimated from our egg data set for this species</t>
        </r>
      </text>
    </comment>
    <comment ref="P743" authorId="10" shapeId="0" xr:uid="{00000000-0006-0000-0000-00008F030000}">
      <text>
        <r>
          <rPr>
            <b/>
            <sz val="9"/>
            <color indexed="81"/>
            <rFont val="Arial"/>
            <family val="2"/>
          </rPr>
          <t>John Iverson:</t>
        </r>
        <r>
          <rPr>
            <sz val="9"/>
            <color indexed="81"/>
            <rFont val="Arial"/>
            <family val="2"/>
          </rPr>
          <t xml:space="preserve">
estimated from our egg data set for this species.</t>
        </r>
      </text>
    </comment>
    <comment ref="N745" authorId="10" shapeId="0" xr:uid="{00000000-0006-0000-0000-000090030000}">
      <text>
        <r>
          <rPr>
            <b/>
            <sz val="9"/>
            <color indexed="81"/>
            <rFont val="Arial"/>
            <family val="2"/>
          </rPr>
          <t>John Iverson:</t>
        </r>
        <r>
          <rPr>
            <sz val="9"/>
            <color indexed="81"/>
            <rFont val="Arial"/>
            <family val="2"/>
          </rPr>
          <t xml:space="preserve">
estimated from our egg data base for G. ouachitensis</t>
        </r>
      </text>
    </comment>
    <comment ref="O745" authorId="10" shapeId="0" xr:uid="{00000000-0006-0000-0000-000091030000}">
      <text>
        <r>
          <rPr>
            <b/>
            <sz val="9"/>
            <color indexed="81"/>
            <rFont val="Arial"/>
            <family val="2"/>
          </rPr>
          <t>John Iverson:</t>
        </r>
        <r>
          <rPr>
            <sz val="9"/>
            <color indexed="81"/>
            <rFont val="Arial"/>
            <family val="2"/>
          </rPr>
          <t xml:space="preserve">
estimated from our egg data base for G. ouachitensis</t>
        </r>
      </text>
    </comment>
    <comment ref="T745" authorId="7" shapeId="0" xr:uid="{00000000-0006-0000-0000-000092030000}">
      <text>
        <r>
          <rPr>
            <b/>
            <sz val="9"/>
            <color indexed="81"/>
            <rFont val="Tahoma"/>
            <family val="2"/>
          </rPr>
          <t>JEnnen:</t>
        </r>
        <r>
          <rPr>
            <sz val="9"/>
            <color indexed="81"/>
            <rFont val="Tahoma"/>
            <family val="2"/>
          </rPr>
          <t xml:space="preserve">
2-3 reported</t>
        </r>
      </text>
    </comment>
    <comment ref="I746" authorId="392" shapeId="0" xr:uid="{00000000-0006-0000-0000-00009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12.12, converted from Lindeman data PL/CL = 0.9207</t>
        </r>
      </text>
    </comment>
    <comment ref="I747" authorId="393" shapeId="0" xr:uid="{00000000-0006-0000-0000-00009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12.73, converted from Lindeman data PL/CL = 0.9207</t>
        </r>
      </text>
    </comment>
    <comment ref="I748" authorId="394" shapeId="0" xr:uid="{00000000-0006-0000-0000-000095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16.59, converted from Lindeman data PL/CL = 0.9207</t>
        </r>
      </text>
    </comment>
    <comment ref="I749" authorId="395" shapeId="0" xr:uid="{00000000-0006-0000-0000-000096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16.57, converted from Lindeman data PL/CL = 0.9207</t>
        </r>
      </text>
    </comment>
    <comment ref="I750" authorId="396" shapeId="0" xr:uid="{00000000-0006-0000-0000-000097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12.73, converted from Lindeman data PL/CL = 0.9207</t>
        </r>
      </text>
    </comment>
    <comment ref="I751" authorId="397" shapeId="0" xr:uid="{00000000-0006-0000-0000-00009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17.15, converted from Lindeman data PL/CL = 0.9207</t>
        </r>
      </text>
    </comment>
    <comment ref="J751" authorId="398" shapeId="0" xr:uid="{00000000-0006-0000-0000-000099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our data set (data provided by Lindeman)</t>
        </r>
      </text>
    </comment>
    <comment ref="P751" authorId="10" shapeId="0" xr:uid="{00000000-0006-0000-0000-00009A030000}">
      <text>
        <r>
          <rPr>
            <b/>
            <sz val="9"/>
            <color indexed="81"/>
            <rFont val="Arial"/>
            <family val="2"/>
          </rPr>
          <t>John Iverson:</t>
        </r>
        <r>
          <rPr>
            <sz val="9"/>
            <color indexed="81"/>
            <rFont val="Arial"/>
            <family val="2"/>
          </rPr>
          <t xml:space="preserve">
estimated from our egg data set for G. ouachitensis</t>
        </r>
      </text>
    </comment>
    <comment ref="N752" authorId="399" shapeId="0" xr:uid="{00000000-0006-0000-0000-00009B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(August 2020)</t>
        </r>
      </text>
    </comment>
    <comment ref="T752" authorId="7" shapeId="0" xr:uid="{00000000-0006-0000-0000-00009C030000}">
      <text>
        <r>
          <rPr>
            <b/>
            <sz val="9"/>
            <color indexed="81"/>
            <rFont val="Tahoma"/>
            <family val="2"/>
          </rPr>
          <t>JEnnen:</t>
        </r>
        <r>
          <rPr>
            <sz val="9"/>
            <color indexed="81"/>
            <rFont val="Tahoma"/>
            <family val="2"/>
          </rPr>
          <t xml:space="preserve">
1-5 reported</t>
        </r>
      </text>
    </comment>
    <comment ref="J753" authorId="400" shapeId="0" xr:uid="{00000000-0006-0000-0000-00009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dataset using Graptemys sabinensis from Lindeman (unpub. data)</t>
        </r>
      </text>
    </comment>
    <comment ref="P753" authorId="10" shapeId="0" xr:uid="{00000000-0006-0000-0000-00009E030000}">
      <text>
        <r>
          <rPr>
            <b/>
            <sz val="9"/>
            <color indexed="81"/>
            <rFont val="Arial"/>
            <family val="2"/>
          </rPr>
          <t>John Iverson:</t>
        </r>
        <r>
          <rPr>
            <sz val="9"/>
            <color indexed="81"/>
            <rFont val="Arial"/>
            <family val="2"/>
          </rPr>
          <t xml:space="preserve">
estimated from our egg data set for G. pseudogeographica</t>
        </r>
      </text>
    </comment>
    <comment ref="G754" authorId="401" shapeId="0" xr:uid="{00000000-0006-0000-0000-00009F030000}">
      <text>
        <r>
          <rPr>
            <sz val="10"/>
            <color rgb="FF000000"/>
            <rFont val="Arial"/>
            <family val="2"/>
          </rPr>
          <t xml:space="preserve">
Comment:
    estimated ca. 31</t>
        </r>
      </text>
    </comment>
    <comment ref="J754" authorId="402" shapeId="0" xr:uid="{00000000-0006-0000-0000-0000A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dataset using Graptemys sabinensis from Lindeman (unpub. data)</t>
        </r>
      </text>
    </comment>
    <comment ref="J758" authorId="10" shapeId="0" xr:uid="{00000000-0006-0000-0000-0000A1030000}">
      <text>
        <r>
          <rPr>
            <b/>
            <sz val="9"/>
            <color indexed="81"/>
            <rFont val="Arial"/>
            <family val="2"/>
          </rPr>
          <t>John Iverson:</t>
        </r>
        <r>
          <rPr>
            <sz val="9"/>
            <color indexed="81"/>
            <rFont val="Arial"/>
            <family val="2"/>
          </rPr>
          <t xml:space="preserve">
estimated from BM-CL data in Simoes and Chambers 1999</t>
        </r>
      </text>
    </comment>
    <comment ref="P759" authorId="403" shapeId="0" xr:uid="{00000000-0006-0000-0000-0000A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0.423EL + 0.464EW - 15.148 Iverson unpublished data (July 2020)</t>
        </r>
      </text>
    </comment>
    <comment ref="P761" authorId="404" shapeId="0" xr:uid="{00000000-0006-0000-0000-0000A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0.423EL + 0.464EW - 15.148 Iverson unpublished data (July 2020)</t>
        </r>
      </text>
    </comment>
    <comment ref="I763" authorId="10" shapeId="0" xr:uid="{00000000-0006-0000-0000-0000A4030000}">
      <text>
        <r>
          <rPr>
            <b/>
            <sz val="9"/>
            <color indexed="81"/>
            <rFont val="Arial"/>
            <family val="2"/>
          </rPr>
          <t>John Iverson:</t>
        </r>
        <r>
          <rPr>
            <sz val="9"/>
            <color indexed="81"/>
            <rFont val="Arial"/>
            <family val="2"/>
          </rPr>
          <t xml:space="preserve">
PL = 16.8: CL/PL = 1.1068 (Lovich unpublished)</t>
        </r>
      </text>
    </comment>
    <comment ref="J763" authorId="10" shapeId="0" xr:uid="{00000000-0006-0000-0000-0000A5030000}">
      <text>
        <r>
          <rPr>
            <b/>
            <sz val="9"/>
            <color indexed="81"/>
            <rFont val="Arial"/>
            <family val="2"/>
          </rPr>
          <t>John Iverson:</t>
        </r>
        <r>
          <rPr>
            <sz val="9"/>
            <color indexed="81"/>
            <rFont val="Arial"/>
            <family val="2"/>
          </rPr>
          <t xml:space="preserve">
estimated from BM-CL equation based on data in Burns and Williams 1972</t>
        </r>
      </text>
    </comment>
    <comment ref="P763" authorId="10" shapeId="0" xr:uid="{00000000-0006-0000-0000-0000A6030000}">
      <text>
        <r>
          <rPr>
            <b/>
            <sz val="9"/>
            <color indexed="81"/>
            <rFont val="Arial"/>
            <family val="2"/>
          </rPr>
          <t>John Iverson:</t>
        </r>
        <r>
          <rPr>
            <sz val="9"/>
            <color indexed="81"/>
            <rFont val="Arial"/>
            <family val="2"/>
          </rPr>
          <t xml:space="preserve">
Based on EW - EM regression in egg size data base for Malaclemys</t>
        </r>
      </text>
    </comment>
    <comment ref="I764" authorId="10" shapeId="0" xr:uid="{00000000-0006-0000-0000-0000A7030000}">
      <text>
        <r>
          <rPr>
            <b/>
            <sz val="9"/>
            <color indexed="81"/>
            <rFont val="Arial"/>
            <family val="2"/>
          </rPr>
          <t>John Iverson:</t>
        </r>
        <r>
          <rPr>
            <sz val="9"/>
            <color indexed="81"/>
            <rFont val="Arial"/>
            <family val="2"/>
          </rPr>
          <t xml:space="preserve">
PL = 17.29
CL/PL= 1.106807 (Lovich unpub data)</t>
        </r>
      </text>
    </comment>
    <comment ref="J764" authorId="405" shapeId="0" xr:uid="{00000000-0006-0000-0000-0000A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Simoes and Chambers 1999</t>
        </r>
      </text>
    </comment>
    <comment ref="I766" authorId="10" shapeId="0" xr:uid="{00000000-0006-0000-0000-0000A9030000}">
      <text>
        <r>
          <rPr>
            <b/>
            <sz val="9"/>
            <color indexed="81"/>
            <rFont val="Arial"/>
            <family val="2"/>
          </rPr>
          <t>John Iverson:</t>
        </r>
        <r>
          <rPr>
            <sz val="9"/>
            <color indexed="81"/>
            <rFont val="Arial"/>
            <family val="2"/>
          </rPr>
          <t xml:space="preserve">
PL = 20.0
CL/PL =1.106807 (Lovich unpub data)
</t>
        </r>
      </text>
    </comment>
    <comment ref="J766" authorId="406" shapeId="0" xr:uid="{00000000-0006-0000-0000-0000A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Simoes and Chambers 1999</t>
        </r>
      </text>
    </comment>
    <comment ref="P766" authorId="407" shapeId="0" xr:uid="{00000000-0006-0000-0000-0000AB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0.423EL + 0.464EW - 15.148 Iverson unpublished data (July 2020)</t>
        </r>
      </text>
    </comment>
    <comment ref="K767" authorId="408" shapeId="0" xr:uid="{00000000-0006-0000-0000-0000A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4-5</t>
        </r>
      </text>
    </comment>
    <comment ref="I768" authorId="409" shapeId="0" xr:uid="{00000000-0006-0000-0000-0000A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15.307
CL/PL = 1.106807 (Lovich Data)</t>
        </r>
      </text>
    </comment>
    <comment ref="J768" authorId="410" shapeId="0" xr:uid="{00000000-0006-0000-0000-0000AE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Simoes and Chambers 1999</t>
        </r>
      </text>
    </comment>
    <comment ref="I769" authorId="411" shapeId="0" xr:uid="{00000000-0006-0000-0000-0000A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16.014
CL/PL = 1.106807 (Lovich Data)</t>
        </r>
      </text>
    </comment>
    <comment ref="J769" authorId="412" shapeId="0" xr:uid="{00000000-0006-0000-0000-0000B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Simoes and Chambers 1999</t>
        </r>
      </text>
    </comment>
    <comment ref="J770" authorId="413" shapeId="0" xr:uid="{00000000-0006-0000-0000-0000B1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Simoes and Chambers 1999</t>
        </r>
      </text>
    </comment>
    <comment ref="J772" authorId="414" shapeId="0" xr:uid="{00000000-0006-0000-0000-0000B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0.22558*CL^2.8753 via Burns and Williams (1972)</t>
        </r>
      </text>
    </comment>
    <comment ref="I774" authorId="415" shapeId="0" xr:uid="{00000000-0006-0000-0000-0000B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15.44
CL/PL = 1.106807 (Lovich Data)</t>
        </r>
      </text>
    </comment>
    <comment ref="J774" authorId="416" shapeId="0" xr:uid="{00000000-0006-0000-0000-0000B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Simoes and Chambers 1999</t>
        </r>
      </text>
    </comment>
    <comment ref="J775" authorId="417" shapeId="0" xr:uid="{00000000-0006-0000-0000-0000B5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0.22558*CL^2.8753 via Burns and Williams (1972)</t>
        </r>
      </text>
    </comment>
    <comment ref="P775" authorId="418" shapeId="0" xr:uid="{00000000-0006-0000-0000-0000B6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I782" authorId="419" shapeId="0" xr:uid="{00000000-0006-0000-0000-0000B7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0.22558*CL^2.8753 via Burns and Williams (1972)</t>
        </r>
      </text>
    </comment>
    <comment ref="N783" authorId="420" shapeId="0" xr:uid="{00000000-0006-0000-0000-0000B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from35.5-39.21 by taking median</t>
        </r>
      </text>
    </comment>
    <comment ref="O783" authorId="421" shapeId="0" xr:uid="{00000000-0006-0000-0000-0000B9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20.85-23.01 by taking median</t>
        </r>
      </text>
    </comment>
    <comment ref="P783" authorId="422" shapeId="0" xr:uid="{00000000-0006-0000-0000-0000B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database (Sept 2020)</t>
        </r>
      </text>
    </comment>
    <comment ref="T783" authorId="7" shapeId="0" xr:uid="{00000000-0006-0000-0000-0000BB030000}">
      <text>
        <r>
          <rPr>
            <b/>
            <sz val="9"/>
            <color indexed="81"/>
            <rFont val="Tahoma"/>
            <family val="2"/>
          </rPr>
          <t>JEnnen:</t>
        </r>
        <r>
          <rPr>
            <sz val="9"/>
            <color indexed="81"/>
            <rFont val="Tahoma"/>
            <family val="2"/>
          </rPr>
          <t xml:space="preserve">
2-3 report</t>
        </r>
      </text>
    </comment>
    <comment ref="I785" authorId="10" shapeId="0" xr:uid="{00000000-0006-0000-0000-0000BC030000}">
      <text>
        <r>
          <rPr>
            <b/>
            <sz val="9"/>
            <color indexed="81"/>
            <rFont val="Arial"/>
            <family val="2"/>
          </rPr>
          <t>John Iverson:</t>
        </r>
        <r>
          <rPr>
            <sz val="9"/>
            <color indexed="81"/>
            <rFont val="Arial"/>
            <family val="2"/>
          </rPr>
          <t xml:space="preserve">
PL = 15.7
CL/PL = 1.106807 (Lovich Data)</t>
        </r>
      </text>
    </comment>
    <comment ref="J785" authorId="423" shapeId="0" xr:uid="{00000000-0006-0000-0000-0000B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0.22558*CL^2.8753 via Burns and Williams (1972)</t>
        </r>
      </text>
    </comment>
    <comment ref="P786" authorId="10" shapeId="0" xr:uid="{00000000-0006-0000-0000-0000BE030000}">
      <text>
        <r>
          <rPr>
            <b/>
            <sz val="9"/>
            <color indexed="81"/>
            <rFont val="Arial"/>
            <family val="2"/>
          </rPr>
          <t>John Iverson:</t>
        </r>
        <r>
          <rPr>
            <sz val="9"/>
            <color indexed="81"/>
            <rFont val="Arial"/>
            <family val="2"/>
          </rPr>
          <t xml:space="preserve">
estimated for our egg data set for P. concinna/floridana</t>
        </r>
      </text>
    </comment>
    <comment ref="J787" authorId="424" shapeId="0" xr:uid="{00000000-0006-0000-0000-0000B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data provided by Godwin, unpublished data</t>
        </r>
      </text>
    </comment>
    <comment ref="N787" authorId="425" shapeId="0" xr:uid="{00000000-0006-0000-0000-0000C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EL/EW ratio for alabamensis from Lahanas 1982 = 1.4013 (Dec 2020)</t>
        </r>
      </text>
    </comment>
    <comment ref="P787" authorId="426" shapeId="0" xr:uid="{00000000-0006-0000-0000-0000C1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our egg regression database using P. nelsoni (Dec 2020)</t>
        </r>
      </text>
    </comment>
    <comment ref="I788" authorId="427" shapeId="0" xr:uid="{00000000-0006-0000-0000-0000C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Godwin (unpub data).</t>
        </r>
      </text>
    </comment>
    <comment ref="K789" authorId="428" shapeId="0" xr:uid="{00000000-0006-0000-0000-0000C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13-24 years</t>
        </r>
      </text>
    </comment>
    <comment ref="J790" authorId="429" shapeId="0" xr:uid="{00000000-0006-0000-0000-0000C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BM_CL dat afrom P. concinna using Godwin, unpublished</t>
        </r>
      </text>
    </comment>
    <comment ref="P791" authorId="430" shapeId="0" xr:uid="{00000000-0006-0000-0000-0000C5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I792" authorId="10" shapeId="0" xr:uid="{00000000-0006-0000-0000-0000C6030000}">
      <text>
        <r>
          <rPr>
            <b/>
            <sz val="9"/>
            <color indexed="81"/>
            <rFont val="Arial"/>
            <family val="2"/>
          </rPr>
          <t>John Iverson:</t>
        </r>
        <r>
          <rPr>
            <sz val="9"/>
            <color indexed="81"/>
            <rFont val="Arial"/>
            <family val="2"/>
          </rPr>
          <t xml:space="preserve">
PL = 24.2; CL estimated from PL/CL ratio in paper</t>
        </r>
      </text>
    </comment>
    <comment ref="J792" authorId="431" shapeId="0" xr:uid="{00000000-0006-0000-0000-0000C7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t>
        </r>
      </text>
    </comment>
    <comment ref="F793" authorId="10" shapeId="0" xr:uid="{00000000-0006-0000-0000-0000C8030000}">
      <text>
        <r>
          <rPr>
            <b/>
            <sz val="9"/>
            <color indexed="81"/>
            <rFont val="Arial"/>
            <family val="2"/>
          </rPr>
          <t>John Iverson:</t>
        </r>
        <r>
          <rPr>
            <sz val="9"/>
            <color indexed="81"/>
            <rFont val="Arial"/>
            <family val="2"/>
          </rPr>
          <t xml:space="preserve">
Must be Rainbow River</t>
        </r>
      </text>
    </comment>
    <comment ref="G793" authorId="432" shapeId="0" xr:uid="{00000000-0006-0000-0000-0000C9030000}">
      <text>
        <r>
          <rPr>
            <sz val="10"/>
            <color rgb="FF000000"/>
            <rFont val="Arial"/>
            <family val="2"/>
          </rPr>
          <t xml:space="preserve">
Comment:
    There were multiple sites.</t>
        </r>
      </text>
    </comment>
    <comment ref="K794" authorId="10" shapeId="0" xr:uid="{00000000-0006-0000-0000-0000CA030000}">
      <text>
        <r>
          <rPr>
            <b/>
            <sz val="9"/>
            <color indexed="81"/>
            <rFont val="Arial"/>
            <family val="2"/>
          </rPr>
          <t>John Iverson:</t>
        </r>
        <r>
          <rPr>
            <sz val="9"/>
            <color indexed="81"/>
            <rFont val="Arial"/>
            <family val="2"/>
          </rPr>
          <t xml:space="preserve">
9-13</t>
        </r>
      </text>
    </comment>
    <comment ref="J798" authorId="433" shapeId="0" xr:uid="{00000000-0006-0000-0000-0000CB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t>
        </r>
      </text>
    </comment>
    <comment ref="P798" authorId="434" shapeId="0" xr:uid="{00000000-0006-0000-0000-0000C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t>
        </r>
      </text>
    </comment>
    <comment ref="I800" authorId="435" shapeId="0" xr:uid="{00000000-0006-0000-0000-0000C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27.0, converted using 0.927532 from Godwin, unpublised data from P. concinna from the Bon Secour River.</t>
        </r>
      </text>
    </comment>
    <comment ref="J801" authorId="436" shapeId="0" xr:uid="{00000000-0006-0000-0000-0000CE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t>
        </r>
      </text>
    </comment>
    <comment ref="J802" authorId="437" shapeId="0" xr:uid="{00000000-0006-0000-0000-0000C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I803" authorId="438" shapeId="0" xr:uid="{00000000-0006-0000-0000-0000D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23.8, converted using 0.927532 from Godwin, unpublised data from P. concinna from the Bon Secour River.</t>
        </r>
      </text>
    </comment>
    <comment ref="I804" authorId="10" shapeId="0" xr:uid="{00000000-0006-0000-0000-0000D1030000}">
      <text>
        <r>
          <rPr>
            <b/>
            <sz val="9"/>
            <color indexed="81"/>
            <rFont val="Arial"/>
            <family val="2"/>
          </rPr>
          <t>John Iverson:</t>
        </r>
        <r>
          <rPr>
            <sz val="9"/>
            <color indexed="81"/>
            <rFont val="Arial"/>
            <family val="2"/>
          </rPr>
          <t xml:space="preserve">
mean PL = 26.25
PL/CL = 0.927532 from P. concinna Godwin</t>
        </r>
      </text>
    </comment>
    <comment ref="J804" authorId="439" shapeId="0" xr:uid="{00000000-0006-0000-0000-0000D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K804" authorId="7" shapeId="0" xr:uid="{00000000-0006-0000-0000-0000D3030000}">
      <text>
        <r>
          <rPr>
            <b/>
            <sz val="9"/>
            <color indexed="81"/>
            <rFont val="Tahoma"/>
            <family val="2"/>
          </rPr>
          <t>JEnnen:</t>
        </r>
        <r>
          <rPr>
            <sz val="9"/>
            <color indexed="81"/>
            <rFont val="Tahoma"/>
            <family val="2"/>
          </rPr>
          <t xml:space="preserve">
6-7 reported</t>
        </r>
      </text>
    </comment>
    <comment ref="I805" authorId="440" shapeId="0" xr:uid="{00000000-0006-0000-0000-0000D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22.3, converted using 0.927532 from Godwin, unpublised data from P. concinna from the Bon Secour River.</t>
        </r>
      </text>
    </comment>
    <comment ref="J805" authorId="441" shapeId="0" xr:uid="{00000000-0006-0000-0000-0000D5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I806" authorId="442" shapeId="0" xr:uid="{00000000-0006-0000-0000-0000D6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regressions database Godwin unpublished. (sept 2020)</t>
        </r>
      </text>
    </comment>
    <comment ref="J806" authorId="10" shapeId="0" xr:uid="{00000000-0006-0000-0000-0000D7030000}">
      <text>
        <r>
          <rPr>
            <b/>
            <sz val="9"/>
            <color indexed="81"/>
            <rFont val="Arial"/>
            <family val="2"/>
          </rPr>
          <t>John Iverson:</t>
        </r>
        <r>
          <rPr>
            <sz val="9"/>
            <color indexed="81"/>
            <rFont val="Arial"/>
            <family val="2"/>
          </rPr>
          <t xml:space="preserve">
estimated as spent body mass plus clutch mass</t>
        </r>
      </text>
    </comment>
    <comment ref="I807" authorId="443" shapeId="0" xr:uid="{00000000-0006-0000-0000-0000D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28.76, converted using 0.927532 from Godwin, unpublised data from P. concinna from the Bon Secour River.</t>
        </r>
      </text>
    </comment>
    <comment ref="P808" authorId="10" shapeId="0" xr:uid="{00000000-0006-0000-0000-0000D9030000}">
      <text>
        <r>
          <rPr>
            <b/>
            <sz val="9"/>
            <color indexed="81"/>
            <rFont val="Arial"/>
            <family val="2"/>
          </rPr>
          <t>John Iverson:</t>
        </r>
        <r>
          <rPr>
            <sz val="9"/>
            <color indexed="81"/>
            <rFont val="Arial"/>
            <family val="2"/>
          </rPr>
          <t xml:space="preserve">
estimated from our egg data set</t>
        </r>
      </text>
    </comment>
    <comment ref="J809" authorId="444" shapeId="0" xr:uid="{00000000-0006-0000-0000-0000D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P809" authorId="445" shapeId="0" xr:uid="{00000000-0006-0000-0000-0000DB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t>
        </r>
      </text>
    </comment>
    <comment ref="J810" authorId="446" shapeId="0" xr:uid="{00000000-0006-0000-0000-0000D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O810" authorId="10" shapeId="0" xr:uid="{00000000-0006-0000-0000-0000DD030000}">
      <text>
        <r>
          <rPr>
            <b/>
            <sz val="9"/>
            <color indexed="81"/>
            <rFont val="Arial"/>
            <family val="2"/>
          </rPr>
          <t>John Iverson:</t>
        </r>
        <r>
          <rPr>
            <sz val="9"/>
            <color indexed="81"/>
            <rFont val="Arial"/>
            <family val="2"/>
          </rPr>
          <t xml:space="preserve">
estimated from our egg data base</t>
        </r>
      </text>
    </comment>
    <comment ref="P810" authorId="10" shapeId="0" xr:uid="{00000000-0006-0000-0000-0000DE030000}">
      <text>
        <r>
          <rPr>
            <b/>
            <sz val="9"/>
            <color indexed="81"/>
            <rFont val="Arial"/>
            <family val="2"/>
          </rPr>
          <t>John Iverson:</t>
        </r>
        <r>
          <rPr>
            <sz val="9"/>
            <color indexed="81"/>
            <rFont val="Arial"/>
            <family val="2"/>
          </rPr>
          <t xml:space="preserve">
estimated from our egg data set</t>
        </r>
      </text>
    </comment>
    <comment ref="I811" authorId="447" shapeId="0" xr:uid="{00000000-0006-0000-0000-0000D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23.492, converted using 0.927532 from Godwin, unpublised data from P. concinna from the Bon Secour River.</t>
        </r>
      </text>
    </comment>
    <comment ref="J811" authorId="448" shapeId="0" xr:uid="{00000000-0006-0000-0000-0000E0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P811" authorId="449" shapeId="0" xr:uid="{00000000-0006-0000-0000-0000E1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1.509x - 23.631 Iverson Unpublished data (July 2020)</t>
        </r>
      </text>
    </comment>
    <comment ref="J812" authorId="10" shapeId="0" xr:uid="{00000000-0006-0000-0000-0000E2030000}">
      <text>
        <r>
          <rPr>
            <b/>
            <sz val="9"/>
            <color indexed="81"/>
            <rFont val="Arial"/>
            <family val="2"/>
          </rPr>
          <t>John Iverson:</t>
        </r>
        <r>
          <rPr>
            <sz val="9"/>
            <color indexed="81"/>
            <rFont val="Arial"/>
            <family val="2"/>
          </rPr>
          <t xml:space="preserve">
estimated from BM-CL data from. P. rubriventris in Graham 1971</t>
        </r>
      </text>
    </comment>
    <comment ref="L812" authorId="7" shapeId="0" xr:uid="{00000000-0006-0000-0000-0000E3030000}">
      <text>
        <r>
          <rPr>
            <b/>
            <sz val="9"/>
            <color indexed="81"/>
            <rFont val="Tahoma"/>
            <family val="2"/>
          </rPr>
          <t>JEnnen:</t>
        </r>
        <r>
          <rPr>
            <sz val="9"/>
            <color indexed="81"/>
            <rFont val="Tahoma"/>
            <family val="2"/>
          </rPr>
          <t xml:space="preserve">
12-20</t>
        </r>
      </text>
    </comment>
    <comment ref="P812" authorId="450" shapeId="0" xr:uid="{00000000-0006-0000-0000-0000E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I813" authorId="10" shapeId="0" xr:uid="{00000000-0006-0000-0000-0000E5030000}">
      <text>
        <r>
          <rPr>
            <b/>
            <sz val="9"/>
            <color indexed="81"/>
            <rFont val="Arial"/>
            <family val="2"/>
          </rPr>
          <t>John Iverson:</t>
        </r>
        <r>
          <rPr>
            <sz val="9"/>
            <color indexed="81"/>
            <rFont val="Arial"/>
            <family val="2"/>
          </rPr>
          <t xml:space="preserve">
PL = 24.73, converted using 0.927532 from Godwin, unpublised data from P. concinna from the Bon Secour River.</t>
        </r>
      </text>
    </comment>
    <comment ref="J814" authorId="451" shapeId="0" xr:uid="{00000000-0006-0000-0000-0000E6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P814" authorId="10" shapeId="0" xr:uid="{00000000-0006-0000-0000-0000E7030000}">
      <text>
        <r>
          <rPr>
            <b/>
            <sz val="9"/>
            <color indexed="81"/>
            <rFont val="Arial"/>
            <family val="2"/>
          </rPr>
          <t>John Iverson:</t>
        </r>
        <r>
          <rPr>
            <sz val="9"/>
            <color indexed="81"/>
            <rFont val="Arial"/>
            <family val="2"/>
          </rPr>
          <t xml:space="preserve">
estimated from our egg data set for P. concinna/floridana</t>
        </r>
      </text>
    </comment>
    <comment ref="J815" authorId="452" shapeId="0" xr:uid="{00000000-0006-0000-0000-0000E8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the Bon Secour River, Jim Godwin, unpublished data for P. concinna</t>
        </r>
      </text>
    </comment>
    <comment ref="N815" authorId="10" shapeId="0" xr:uid="{00000000-0006-0000-0000-0000E9030000}">
      <text>
        <r>
          <rPr>
            <b/>
            <sz val="9"/>
            <color indexed="81"/>
            <rFont val="Arial"/>
            <family val="2"/>
          </rPr>
          <t>John Iverson:</t>
        </r>
        <r>
          <rPr>
            <sz val="9"/>
            <color indexed="81"/>
            <rFont val="Arial"/>
            <family val="2"/>
          </rPr>
          <t xml:space="preserve">
estimated from EL/EW ratio in Degenhardt et al 1996</t>
        </r>
      </text>
    </comment>
    <comment ref="P815" authorId="10" shapeId="0" xr:uid="{00000000-0006-0000-0000-0000EA030000}">
      <text>
        <r>
          <rPr>
            <b/>
            <sz val="9"/>
            <color indexed="81"/>
            <rFont val="Arial"/>
            <family val="2"/>
          </rPr>
          <t>John Iverson:</t>
        </r>
        <r>
          <rPr>
            <sz val="9"/>
            <color indexed="81"/>
            <rFont val="Arial"/>
            <family val="2"/>
          </rPr>
          <t xml:space="preserve">
estimated from our egg data set for P. concinna/floridana</t>
        </r>
      </text>
    </comment>
    <comment ref="I816" authorId="453" shapeId="0" xr:uid="{00000000-0006-0000-0000-0000EB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21.6, converted using 0.927532 from Godwin, unpublised data from P. concinna from the Bon Secour River.</t>
        </r>
      </text>
    </comment>
    <comment ref="O816" authorId="10" shapeId="0" xr:uid="{00000000-0006-0000-0000-0000EC030000}">
      <text>
        <r>
          <rPr>
            <b/>
            <sz val="9"/>
            <color indexed="81"/>
            <rFont val="Arial"/>
            <family val="2"/>
          </rPr>
          <t>John Iverson:</t>
        </r>
        <r>
          <rPr>
            <sz val="9"/>
            <color indexed="81"/>
            <rFont val="Arial"/>
            <family val="2"/>
          </rPr>
          <t xml:space="preserve">
x ray egg width</t>
        </r>
      </text>
    </comment>
    <comment ref="P816" authorId="454" shapeId="0" xr:uid="{00000000-0006-0000-0000-0000E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P. concinna/flordiana (July 2020)</t>
        </r>
      </text>
    </comment>
    <comment ref="K818" authorId="7" shapeId="0" xr:uid="{00000000-0006-0000-0000-0000EE030000}">
      <text>
        <r>
          <rPr>
            <b/>
            <sz val="9"/>
            <color indexed="81"/>
            <rFont val="Tahoma"/>
            <family val="2"/>
          </rPr>
          <t>JEnnen:</t>
        </r>
        <r>
          <rPr>
            <sz val="9"/>
            <color indexed="81"/>
            <rFont val="Tahoma"/>
            <family val="2"/>
          </rPr>
          <t xml:space="preserve">
7-8 reported</t>
        </r>
      </text>
    </comment>
    <comment ref="K819" authorId="7" shapeId="0" xr:uid="{00000000-0006-0000-0000-0000EF030000}">
      <text>
        <r>
          <rPr>
            <b/>
            <sz val="9"/>
            <color indexed="81"/>
            <rFont val="Tahoma"/>
            <family val="2"/>
          </rPr>
          <t>JEnnen:</t>
        </r>
        <r>
          <rPr>
            <sz val="9"/>
            <color indexed="81"/>
            <rFont val="Tahoma"/>
            <family val="2"/>
          </rPr>
          <t xml:space="preserve">
5-7 reported</t>
        </r>
      </text>
    </comment>
    <comment ref="P820" authorId="10" shapeId="0" xr:uid="{00000000-0006-0000-0000-0000F0030000}">
      <text>
        <r>
          <rPr>
            <b/>
            <sz val="9"/>
            <color indexed="81"/>
            <rFont val="Arial"/>
            <family val="2"/>
          </rPr>
          <t>John Iverson:</t>
        </r>
        <r>
          <rPr>
            <sz val="9"/>
            <color indexed="81"/>
            <rFont val="Arial"/>
            <family val="2"/>
          </rPr>
          <t xml:space="preserve">
estimated from our egg data set</t>
        </r>
      </text>
    </comment>
    <comment ref="K822" authorId="10" shapeId="0" xr:uid="{00000000-0006-0000-0000-0000F1030000}">
      <text>
        <r>
          <rPr>
            <b/>
            <sz val="9"/>
            <color indexed="81"/>
            <rFont val="Arial"/>
            <family val="2"/>
          </rPr>
          <t>John Iverson:</t>
        </r>
        <r>
          <rPr>
            <sz val="9"/>
            <color indexed="81"/>
            <rFont val="Arial"/>
            <family val="2"/>
          </rPr>
          <t xml:space="preserve">
Estimated not directly measured</t>
        </r>
      </text>
    </comment>
    <comment ref="N824" authorId="455" shapeId="0" xr:uid="{00000000-0006-0000-0000-0000F2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Hennig (2003) reported 30.71</t>
        </r>
      </text>
    </comment>
    <comment ref="O824" authorId="456" shapeId="0" xr:uid="{00000000-0006-0000-0000-0000F3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Hennig (2003) reported 22.73</t>
        </r>
      </text>
    </comment>
    <comment ref="P824" authorId="457" shapeId="0" xr:uid="{00000000-0006-0000-0000-0000F4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Hennig (2003) reported 8.25</t>
        </r>
      </text>
    </comment>
    <comment ref="R824" authorId="458" shapeId="0" xr:uid="{00000000-0006-0000-0000-0000F5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Hennig (2003) reported 107.25</t>
        </r>
      </text>
    </comment>
    <comment ref="S824" authorId="459" shapeId="0" xr:uid="{00000000-0006-0000-0000-0000F6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Hennig (2003) reported 4.47</t>
        </r>
      </text>
    </comment>
    <comment ref="K825" authorId="10" shapeId="0" xr:uid="{00000000-0006-0000-0000-0000F7030000}">
      <text>
        <r>
          <rPr>
            <b/>
            <sz val="9"/>
            <color indexed="81"/>
            <rFont val="Arial"/>
            <family val="2"/>
          </rPr>
          <t>John Iverson:</t>
        </r>
        <r>
          <rPr>
            <sz val="9"/>
            <color indexed="81"/>
            <rFont val="Arial"/>
            <family val="2"/>
          </rPr>
          <t xml:space="preserve">
estimated, not directly measured</t>
        </r>
      </text>
    </comment>
    <comment ref="O827" authorId="10" shapeId="0" xr:uid="{00000000-0006-0000-0000-0000F8030000}">
      <text>
        <r>
          <rPr>
            <b/>
            <sz val="9"/>
            <color indexed="81"/>
            <rFont val="Arial"/>
            <family val="2"/>
          </rPr>
          <t>John Iverson:</t>
        </r>
        <r>
          <rPr>
            <sz val="9"/>
            <color indexed="81"/>
            <rFont val="Arial"/>
            <family val="2"/>
          </rPr>
          <t xml:space="preserve">
second clutch mean 14.3</t>
        </r>
      </text>
    </comment>
    <comment ref="J829" authorId="11" shapeId="0" xr:uid="{00000000-0006-0000-0000-0000F9030000}">
      <text>
        <r>
          <rPr>
            <b/>
            <sz val="9"/>
            <color indexed="81"/>
            <rFont val="Tahoma"/>
            <family val="2"/>
          </rPr>
          <t>TNACI:</t>
        </r>
        <r>
          <rPr>
            <sz val="9"/>
            <color indexed="81"/>
            <rFont val="Tahoma"/>
            <family val="2"/>
          </rPr>
          <t xml:space="preserve">
estimated from BM = 0.2692*CL^2.790 Graham (1971)</t>
        </r>
      </text>
    </comment>
    <comment ref="P829" authorId="460" shapeId="0" xr:uid="{00000000-0006-0000-0000-0000FA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P. concinna/floridana (July 2020)</t>
        </r>
      </text>
    </comment>
    <comment ref="J831" authorId="461" shapeId="0" xr:uid="{00000000-0006-0000-0000-0000FB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Lindeman, unpublished data for P. texana</t>
        </r>
      </text>
    </comment>
    <comment ref="P831" authorId="462" shapeId="0" xr:uid="{00000000-0006-0000-0000-0000FC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from our egg database using T. decorata (Aug 2020)</t>
        </r>
      </text>
    </comment>
    <comment ref="J832" authorId="463" shapeId="0" xr:uid="{00000000-0006-0000-0000-0000FD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Lindeman, unpublished data for P. texana</t>
        </r>
      </text>
    </comment>
    <comment ref="P832" authorId="464" shapeId="0" xr:uid="{00000000-0006-0000-0000-0000FE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from our egg database using T. decorata (Aug 2020)</t>
        </r>
      </text>
    </comment>
    <comment ref="I834" authorId="465" shapeId="0" xr:uid="{00000000-0006-0000-0000-0000FF03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PL/CL = 0.9035 from the data in Lindeman 2007 (PL =25.58)</t>
        </r>
      </text>
    </comment>
    <comment ref="J834" authorId="466" shapeId="0" xr:uid="{00000000-0006-0000-0000-00000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Lindeman, unpublished data for P. texana</t>
        </r>
      </text>
    </comment>
    <comment ref="K835" authorId="10" shapeId="0" xr:uid="{00000000-0006-0000-0000-000001040000}">
      <text>
        <r>
          <rPr>
            <b/>
            <sz val="9"/>
            <color indexed="81"/>
            <rFont val="Arial"/>
            <family val="2"/>
          </rPr>
          <t>John Iverson:</t>
        </r>
        <r>
          <rPr>
            <sz val="9"/>
            <color indexed="81"/>
            <rFont val="Arial"/>
            <family val="2"/>
          </rPr>
          <t xml:space="preserve">
estmated, but directly maesured</t>
        </r>
      </text>
    </comment>
    <comment ref="G837" authorId="467" shapeId="0" xr:uid="{00000000-0006-0000-0000-000002040000}">
      <text>
        <r>
          <rPr>
            <sz val="10"/>
            <color rgb="FF000000"/>
            <rFont val="Arial"/>
            <family val="2"/>
          </rPr>
          <t xml:space="preserve">
Comment:
    estimated ca. 38.9</t>
        </r>
      </text>
    </comment>
    <comment ref="J839" authorId="468" shapeId="0" xr:uid="{00000000-0006-0000-0000-00000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P841" authorId="10" shapeId="0" xr:uid="{00000000-0006-0000-0000-000004040000}">
      <text>
        <r>
          <rPr>
            <b/>
            <sz val="9"/>
            <color indexed="81"/>
            <rFont val="Arial"/>
            <family val="2"/>
          </rPr>
          <t>John Iverson:</t>
        </r>
        <r>
          <rPr>
            <sz val="9"/>
            <color indexed="81"/>
            <rFont val="Arial"/>
            <family val="2"/>
          </rPr>
          <t xml:space="preserve">
estimated from our egg data set</t>
        </r>
      </text>
    </comment>
    <comment ref="K844" authorId="10" shapeId="0" xr:uid="{00000000-0006-0000-0000-000005040000}">
      <text>
        <r>
          <rPr>
            <b/>
            <sz val="9"/>
            <color indexed="81"/>
            <rFont val="Arial"/>
            <family val="2"/>
          </rPr>
          <t>John Iverson:</t>
        </r>
        <r>
          <rPr>
            <sz val="9"/>
            <color indexed="81"/>
            <rFont val="Arial"/>
            <family val="2"/>
          </rPr>
          <t xml:space="preserve">
7-8</t>
        </r>
      </text>
    </comment>
    <comment ref="T844" authorId="7" shapeId="0" xr:uid="{00000000-0006-0000-0000-000006040000}">
      <text>
        <r>
          <rPr>
            <b/>
            <sz val="9"/>
            <color indexed="81"/>
            <rFont val="Tahoma"/>
            <family val="2"/>
          </rPr>
          <t>JEnnen:</t>
        </r>
        <r>
          <rPr>
            <sz val="9"/>
            <color indexed="81"/>
            <rFont val="Tahoma"/>
            <family val="2"/>
          </rPr>
          <t xml:space="preserve">
2-3 reported</t>
        </r>
      </text>
    </comment>
    <comment ref="L845" authorId="10" shapeId="0" xr:uid="{00000000-0006-0000-0000-000007040000}">
      <text>
        <r>
          <rPr>
            <b/>
            <sz val="9"/>
            <color indexed="81"/>
            <rFont val="Arial"/>
            <family val="2"/>
          </rPr>
          <t>John Iverson:</t>
        </r>
        <r>
          <rPr>
            <sz val="9"/>
            <color indexed="81"/>
            <rFont val="Arial"/>
            <family val="2"/>
          </rPr>
          <t xml:space="preserve">
mode</t>
        </r>
      </text>
    </comment>
    <comment ref="T845" authorId="7" shapeId="0" xr:uid="{00000000-0006-0000-0000-000008040000}">
      <text>
        <r>
          <rPr>
            <b/>
            <sz val="9"/>
            <color indexed="81"/>
            <rFont val="Tahoma"/>
            <family val="2"/>
          </rPr>
          <t>JEnnen:</t>
        </r>
        <r>
          <rPr>
            <sz val="9"/>
            <color indexed="81"/>
            <rFont val="Tahoma"/>
            <family val="2"/>
          </rPr>
          <t xml:space="preserve">
2-3 reported</t>
        </r>
      </text>
    </comment>
    <comment ref="J846" authorId="10" shapeId="0" xr:uid="{00000000-0006-0000-0000-000009040000}">
      <text>
        <r>
          <rPr>
            <b/>
            <sz val="9"/>
            <color indexed="81"/>
            <rFont val="Arial"/>
            <family val="2"/>
          </rPr>
          <t>John Iverson:</t>
        </r>
        <r>
          <rPr>
            <sz val="9"/>
            <color indexed="81"/>
            <rFont val="Arial"/>
            <family val="2"/>
          </rPr>
          <t xml:space="preserve">
Estimated from BM/CL regression</t>
        </r>
      </text>
    </comment>
    <comment ref="N846" authorId="10" shapeId="0" xr:uid="{00000000-0006-0000-0000-00000A040000}">
      <text>
        <r>
          <rPr>
            <b/>
            <sz val="9"/>
            <color indexed="81"/>
            <rFont val="Arial"/>
            <family val="2"/>
          </rPr>
          <t>John Iverson:</t>
        </r>
        <r>
          <rPr>
            <sz val="9"/>
            <color indexed="81"/>
            <rFont val="Arial"/>
            <family val="2"/>
          </rPr>
          <t xml:space="preserve">
Xray egg length not useable</t>
        </r>
      </text>
    </comment>
    <comment ref="J848" authorId="469" shapeId="0" xr:uid="{00000000-0006-0000-0000-00000B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I851" authorId="10" shapeId="0" xr:uid="{00000000-0006-0000-0000-00000C040000}">
      <text>
        <r>
          <rPr>
            <b/>
            <sz val="9"/>
            <color indexed="81"/>
            <rFont val="Arial"/>
            <family val="2"/>
          </rPr>
          <t>John Iverson:</t>
        </r>
        <r>
          <rPr>
            <sz val="9"/>
            <color indexed="81"/>
            <rFont val="Arial"/>
            <family val="2"/>
          </rPr>
          <t xml:space="preserve">
PL = 12.15cm; CL estimated from ratio of PL to CL [0.972] from, Palmer and Braswell 1995 Reptiles of Virginia</t>
        </r>
      </text>
    </comment>
    <comment ref="J851" authorId="470" shapeId="0" xr:uid="{00000000-0006-0000-0000-00000D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J852" authorId="471" shapeId="0" xr:uid="{00000000-0006-0000-0000-00000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P852" authorId="472" shapeId="0" xr:uid="{00000000-0006-0000-0000-00000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G853" authorId="473" shapeId="0" xr:uid="{00000000-0006-0000-0000-000010040000}">
      <text>
        <r>
          <rPr>
            <sz val="10"/>
            <color rgb="FF000000"/>
            <rFont val="Arial"/>
            <family val="2"/>
          </rPr>
          <t xml:space="preserve">
Comment:
    estimated ca. 35.5</t>
        </r>
      </text>
    </comment>
    <comment ref="I853" authorId="10" shapeId="0" xr:uid="{00000000-0006-0000-0000-000011040000}">
      <text>
        <r>
          <rPr>
            <b/>
            <sz val="9"/>
            <color indexed="81"/>
            <rFont val="Arial"/>
            <family val="2"/>
          </rPr>
          <t>John Iverson:</t>
        </r>
        <r>
          <rPr>
            <sz val="9"/>
            <color indexed="81"/>
            <rFont val="Arial"/>
            <family val="2"/>
          </rPr>
          <t xml:space="preserve">
curved CL = 15.367; estimated from BM-CL regression database because there is no conversion from CCL to SCL. (SEPT 2020)</t>
        </r>
      </text>
    </comment>
    <comment ref="I854" authorId="474" shapeId="0" xr:uid="{00000000-0006-0000-0000-00001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G857" authorId="475" shapeId="0" xr:uid="{00000000-0006-0000-0000-000013040000}">
      <text>
        <r>
          <rPr>
            <sz val="10"/>
            <color rgb="FF000000"/>
            <rFont val="Arial"/>
            <family val="2"/>
          </rPr>
          <t xml:space="preserve">
Comment:
    estimated from 29.8-30.1</t>
        </r>
      </text>
    </comment>
    <comment ref="J857" authorId="476" shapeId="0" xr:uid="{00000000-0006-0000-0000-00001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Iverson (unpub data).</t>
        </r>
      </text>
    </comment>
    <comment ref="P857" authorId="10" shapeId="0" xr:uid="{00000000-0006-0000-0000-000015040000}">
      <text>
        <r>
          <rPr>
            <b/>
            <sz val="9"/>
            <color indexed="81"/>
            <rFont val="Arial"/>
            <family val="2"/>
          </rPr>
          <t>John Iverson:</t>
        </r>
        <r>
          <rPr>
            <sz val="9"/>
            <color indexed="81"/>
            <rFont val="Arial"/>
            <family val="2"/>
          </rPr>
          <t xml:space="preserve">
estimated from our egg mass data set</t>
        </r>
      </text>
    </comment>
    <comment ref="J860" authorId="10" shapeId="0" xr:uid="{00000000-0006-0000-0000-000016040000}">
      <text>
        <r>
          <rPr>
            <b/>
            <sz val="9"/>
            <color indexed="81"/>
            <rFont val="Arial"/>
            <family val="2"/>
          </rPr>
          <t>John Iverson:</t>
        </r>
        <r>
          <rPr>
            <sz val="9"/>
            <color indexed="81"/>
            <rFont val="Arial"/>
            <family val="2"/>
          </rPr>
          <t xml:space="preserve">
post gravid BM = 746.3; GBM estimated as CM plus spent BM</t>
        </r>
      </text>
    </comment>
    <comment ref="I861" authorId="477" shapeId="0" xr:uid="{00000000-0006-0000-0000-00001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12.5-15.5</t>
        </r>
      </text>
    </comment>
    <comment ref="J861" authorId="478" shapeId="0" xr:uid="{00000000-0006-0000-0000-00001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Iverson (unpub data).</t>
        </r>
      </text>
    </comment>
    <comment ref="J862" authorId="479" shapeId="0" xr:uid="{00000000-0006-0000-0000-00001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Iverson (unpub data).</t>
        </r>
      </text>
    </comment>
    <comment ref="L864" authorId="7" shapeId="0" xr:uid="{00000000-0006-0000-0000-00001A040000}">
      <text>
        <r>
          <rPr>
            <b/>
            <sz val="9"/>
            <color indexed="81"/>
            <rFont val="Tahoma"/>
            <family val="2"/>
          </rPr>
          <t>JEnnen:</t>
        </r>
        <r>
          <rPr>
            <sz val="9"/>
            <color indexed="81"/>
            <rFont val="Tahoma"/>
            <family val="2"/>
          </rPr>
          <t xml:space="preserve">
2-6
</t>
        </r>
      </text>
    </comment>
    <comment ref="T864" authorId="7" shapeId="0" xr:uid="{00000000-0006-0000-0000-00001B040000}">
      <text>
        <r>
          <rPr>
            <b/>
            <sz val="9"/>
            <color indexed="81"/>
            <rFont val="Tahoma"/>
            <family val="2"/>
          </rPr>
          <t>JEnnen:</t>
        </r>
        <r>
          <rPr>
            <sz val="9"/>
            <color indexed="81"/>
            <rFont val="Tahoma"/>
            <family val="2"/>
          </rPr>
          <t xml:space="preserve">
up to 6 but mean of 3</t>
        </r>
      </text>
    </comment>
    <comment ref="J865" authorId="1" shapeId="0" xr:uid="{00000000-0006-0000-0000-00001C040000}">
      <text>
        <r>
          <rPr>
            <sz val="10"/>
            <color rgb="FF000000"/>
            <rFont val="Arial"/>
            <family val="2"/>
          </rPr>
          <t>estimated from BM-CL regression dataset using Cerda and Waugh 1992 (Aug 2020)</t>
        </r>
      </text>
    </comment>
    <comment ref="T868" authorId="7" shapeId="0" xr:uid="{00000000-0006-0000-0000-00001D040000}">
      <text>
        <r>
          <rPr>
            <b/>
            <sz val="9"/>
            <color indexed="81"/>
            <rFont val="Tahoma"/>
            <family val="2"/>
          </rPr>
          <t>JEnnen:</t>
        </r>
        <r>
          <rPr>
            <sz val="9"/>
            <color indexed="81"/>
            <rFont val="Tahoma"/>
            <family val="2"/>
          </rPr>
          <t xml:space="preserve">
2-3 reported</t>
        </r>
      </text>
    </comment>
    <comment ref="J869" authorId="480" shapeId="0" xr:uid="{00000000-0006-0000-0000-00001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via T. carolina (Aug 2020)</t>
        </r>
      </text>
    </comment>
    <comment ref="J870" authorId="481" shapeId="0" xr:uid="{00000000-0006-0000-0000-00001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via T. carolina (Aug 2020)</t>
        </r>
      </text>
    </comment>
    <comment ref="G872" authorId="10" shapeId="0" xr:uid="{00000000-0006-0000-0000-000020040000}">
      <text>
        <r>
          <rPr>
            <b/>
            <sz val="9"/>
            <color indexed="81"/>
            <rFont val="Arial"/>
            <family val="2"/>
          </rPr>
          <t>John Iverson:</t>
        </r>
        <r>
          <rPr>
            <sz val="9"/>
            <color indexed="81"/>
            <rFont val="Arial"/>
            <family val="2"/>
          </rPr>
          <t xml:space="preserve">
See Blair 1960 Rusty Lizard for site description</t>
        </r>
      </text>
    </comment>
    <comment ref="J875" authorId="482" shapeId="0" xr:uid="{00000000-0006-0000-0000-00002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database Iverson unpub (Sept 2020)</t>
        </r>
      </text>
    </comment>
    <comment ref="J876" authorId="483" shapeId="0" xr:uid="{00000000-0006-0000-0000-00002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database Iverson unpub (Sept 2020)</t>
        </r>
      </text>
    </comment>
    <comment ref="J877" authorId="484" shapeId="0" xr:uid="{00000000-0006-0000-0000-00002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0.2756*CL^2.954 Iverson (1984)</t>
        </r>
      </text>
    </comment>
    <comment ref="T878" authorId="7" shapeId="0" xr:uid="{00000000-0006-0000-0000-000024040000}">
      <text>
        <r>
          <rPr>
            <b/>
            <sz val="9"/>
            <color indexed="81"/>
            <rFont val="Tahoma"/>
            <family val="2"/>
          </rPr>
          <t>JEnnen:</t>
        </r>
        <r>
          <rPr>
            <sz val="9"/>
            <color indexed="81"/>
            <rFont val="Tahoma"/>
            <family val="2"/>
          </rPr>
          <t xml:space="preserve">
1-2 reported</t>
        </r>
      </text>
    </comment>
    <comment ref="I880" authorId="485" shapeId="0" xr:uid="{00000000-0006-0000-0000-00002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0.2756*CL^2.954 via Iverson 1984</t>
        </r>
      </text>
    </comment>
    <comment ref="P881" authorId="486" shapeId="0" xr:uid="{00000000-0006-0000-0000-00002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1.2158x - 16.042 Iverson unpublished data (July 2020)</t>
        </r>
      </text>
    </comment>
    <comment ref="O882" authorId="487" shapeId="0" xr:uid="{00000000-0006-0000-0000-00002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1.2158x - 16.042 Iverson unpublished data (July 2020)</t>
        </r>
      </text>
    </comment>
    <comment ref="G883" authorId="10" shapeId="0" xr:uid="{00000000-0006-0000-0000-000028040000}">
      <text>
        <r>
          <rPr>
            <b/>
            <sz val="9"/>
            <color indexed="81"/>
            <rFont val="Arial"/>
            <family val="2"/>
          </rPr>
          <t>John Iverson:</t>
        </r>
        <r>
          <rPr>
            <sz val="9"/>
            <color indexed="81"/>
            <rFont val="Arial"/>
            <family val="2"/>
          </rPr>
          <t xml:space="preserve">
"central Oklahoma"</t>
        </r>
      </text>
    </comment>
    <comment ref="I883" authorId="10" shapeId="0" xr:uid="{00000000-0006-0000-0000-000029040000}">
      <text>
        <r>
          <rPr>
            <b/>
            <sz val="9"/>
            <color indexed="81"/>
            <rFont val="Arial"/>
            <family val="2"/>
          </rPr>
          <t>John Iverson:</t>
        </r>
        <r>
          <rPr>
            <sz val="9"/>
            <color indexed="81"/>
            <rFont val="Arial"/>
            <family val="2"/>
          </rPr>
          <t xml:space="preserve">
estimated from BM-CL for ornata in Iverson unpublished</t>
        </r>
      </text>
    </comment>
    <comment ref="J883" authorId="10" shapeId="0" xr:uid="{00000000-0006-0000-0000-00002A040000}">
      <text>
        <r>
          <rPr>
            <b/>
            <sz val="9"/>
            <color indexed="81"/>
            <rFont val="Arial"/>
            <family val="2"/>
          </rPr>
          <t>John Iverson:</t>
        </r>
        <r>
          <rPr>
            <sz val="9"/>
            <color indexed="81"/>
            <rFont val="Arial"/>
            <family val="2"/>
          </rPr>
          <t xml:space="preserve">
estimated from Fig. 1 in paper</t>
        </r>
      </text>
    </comment>
    <comment ref="J884" authorId="488" shapeId="0" xr:uid="{00000000-0006-0000-0000-00002B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0.2756*CL^2.954 Iverson (1984)</t>
        </r>
      </text>
    </comment>
    <comment ref="G885" authorId="10" shapeId="0" xr:uid="{00000000-0006-0000-0000-00002C040000}">
      <text>
        <r>
          <rPr>
            <b/>
            <sz val="9"/>
            <color indexed="81"/>
            <rFont val="Arial"/>
            <family val="2"/>
          </rPr>
          <t>John Iverson:</t>
        </r>
        <r>
          <rPr>
            <sz val="9"/>
            <color indexed="81"/>
            <rFont val="Arial"/>
            <family val="2"/>
          </rPr>
          <t xml:space="preserve">
"central Oklahoma"</t>
        </r>
      </text>
    </comment>
    <comment ref="J886" authorId="489" shapeId="0" xr:uid="{00000000-0006-0000-0000-00002D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0.2756*CL^2.954 Iverson (1984)</t>
        </r>
      </text>
    </comment>
    <comment ref="O886" authorId="10" shapeId="0" xr:uid="{00000000-0006-0000-0000-00002E040000}">
      <text>
        <r>
          <rPr>
            <b/>
            <sz val="9"/>
            <color indexed="81"/>
            <rFont val="Arial"/>
            <family val="2"/>
          </rPr>
          <t>John Iverson:</t>
        </r>
        <r>
          <rPr>
            <sz val="9"/>
            <color indexed="81"/>
            <rFont val="Arial"/>
            <family val="2"/>
          </rPr>
          <t xml:space="preserve">
Estimated form xrays</t>
        </r>
      </text>
    </comment>
    <comment ref="P886" authorId="490" shapeId="0" xr:uid="{00000000-0006-0000-0000-00002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1.2158x - 16.042 Iverson unpublished data (July 2020)</t>
        </r>
      </text>
    </comment>
    <comment ref="I887" authorId="10" shapeId="0" xr:uid="{00000000-0006-0000-0000-000030040000}">
      <text>
        <r>
          <rPr>
            <b/>
            <sz val="9"/>
            <color indexed="81"/>
            <rFont val="Arial"/>
            <family val="2"/>
          </rPr>
          <t>John Iverson:</t>
        </r>
        <r>
          <rPr>
            <sz val="9"/>
            <color indexed="81"/>
            <rFont val="Arial"/>
            <family val="2"/>
          </rPr>
          <t xml:space="preserve">
estimated from Fig. 3</t>
        </r>
      </text>
    </comment>
    <comment ref="J887" authorId="10" shapeId="0" xr:uid="{00000000-0006-0000-0000-000031040000}">
      <text>
        <r>
          <rPr>
            <b/>
            <sz val="9"/>
            <color indexed="81"/>
            <rFont val="Arial"/>
            <family val="2"/>
          </rPr>
          <t>John Iverson:</t>
        </r>
        <r>
          <rPr>
            <sz val="9"/>
            <color indexed="81"/>
            <rFont val="Arial"/>
            <family val="2"/>
          </rPr>
          <t xml:space="preserve">
estimated from Fig. 3</t>
        </r>
      </text>
    </comment>
    <comment ref="L890" authorId="7" shapeId="0" xr:uid="{00000000-0006-0000-0000-000032040000}">
      <text>
        <r>
          <rPr>
            <b/>
            <sz val="9"/>
            <color indexed="81"/>
            <rFont val="Tahoma"/>
            <family val="2"/>
          </rPr>
          <t>JEnnen:</t>
        </r>
        <r>
          <rPr>
            <sz val="9"/>
            <color indexed="81"/>
            <rFont val="Tahoma"/>
            <family val="2"/>
          </rPr>
          <t xml:space="preserve">
1-7</t>
        </r>
      </text>
    </comment>
    <comment ref="O890" authorId="491" shapeId="0" xr:uid="{00000000-0006-0000-0000-00003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as13mm  in original paper likely a typo</t>
        </r>
      </text>
    </comment>
    <comment ref="I891" authorId="492" shapeId="0" xr:uid="{00000000-0006-0000-0000-00003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G892" authorId="10" shapeId="0" xr:uid="{00000000-0006-0000-0000-000035040000}">
      <text>
        <r>
          <rPr>
            <b/>
            <sz val="9"/>
            <color indexed="81"/>
            <rFont val="Arial"/>
            <family val="2"/>
          </rPr>
          <t>John Iverson:</t>
        </r>
        <r>
          <rPr>
            <sz val="9"/>
            <color indexed="81"/>
            <rFont val="Arial"/>
            <family val="2"/>
          </rPr>
          <t xml:space="preserve">
"central Oklahoma"</t>
        </r>
      </text>
    </comment>
    <comment ref="I892" authorId="493" shapeId="0" xr:uid="{00000000-0006-0000-0000-00003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J892" authorId="10" shapeId="0" xr:uid="{00000000-0006-0000-0000-000037040000}">
      <text>
        <r>
          <rPr>
            <b/>
            <sz val="9"/>
            <color indexed="81"/>
            <rFont val="Arial"/>
            <family val="2"/>
          </rPr>
          <t>John Iverson:</t>
        </r>
        <r>
          <rPr>
            <sz val="9"/>
            <color indexed="81"/>
            <rFont val="Arial"/>
            <family val="2"/>
          </rPr>
          <t xml:space="preserve">
estimated from Fig. 1 in paper</t>
        </r>
      </text>
    </comment>
    <comment ref="J893" authorId="494" shapeId="0" xr:uid="{00000000-0006-0000-0000-00003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0.0001619*CL^3.0434 Iverson unpublished data (July 2020)</t>
        </r>
      </text>
    </comment>
    <comment ref="P895" authorId="10" shapeId="0" xr:uid="{00000000-0006-0000-0000-000039040000}">
      <text>
        <r>
          <rPr>
            <b/>
            <sz val="9"/>
            <color indexed="81"/>
            <rFont val="Arial"/>
            <family val="2"/>
          </rPr>
          <t>John Iverson:</t>
        </r>
        <r>
          <rPr>
            <sz val="9"/>
            <color indexed="81"/>
            <rFont val="Arial"/>
            <family val="2"/>
          </rPr>
          <t xml:space="preserve">
estimated from our egg data set for T. scripta elegans</t>
        </r>
      </text>
    </comment>
    <comment ref="J896" authorId="10" shapeId="0" xr:uid="{00000000-0006-0000-0000-00003A040000}">
      <text>
        <r>
          <rPr>
            <b/>
            <sz val="9"/>
            <color indexed="81"/>
            <rFont val="Arial"/>
            <family val="2"/>
          </rPr>
          <t>John Iverson:</t>
        </r>
        <r>
          <rPr>
            <sz val="9"/>
            <color indexed="81"/>
            <rFont val="Arial"/>
            <family val="2"/>
          </rPr>
          <t xml:space="preserve">
estimated from our  BM-CL data for T. scripta from Indiana</t>
        </r>
      </text>
    </comment>
    <comment ref="L896" authorId="10" shapeId="0" xr:uid="{00000000-0006-0000-0000-00003B040000}">
      <text>
        <r>
          <rPr>
            <b/>
            <sz val="9"/>
            <color indexed="81"/>
            <rFont val="Arial"/>
            <family val="2"/>
          </rPr>
          <t>John Iverson:</t>
        </r>
        <r>
          <rPr>
            <sz val="9"/>
            <color indexed="81"/>
            <rFont val="Arial"/>
            <family val="2"/>
          </rPr>
          <t xml:space="preserve">
"4-6"</t>
        </r>
      </text>
    </comment>
    <comment ref="N896" authorId="10" shapeId="0" xr:uid="{00000000-0006-0000-0000-00003C040000}">
      <text>
        <r>
          <rPr>
            <b/>
            <sz val="9"/>
            <color indexed="81"/>
            <rFont val="Arial"/>
            <family val="2"/>
          </rPr>
          <t>John Iverson:</t>
        </r>
        <r>
          <rPr>
            <sz val="9"/>
            <color indexed="81"/>
            <rFont val="Arial"/>
            <family val="2"/>
          </rPr>
          <t xml:space="preserve">
"32-38"</t>
        </r>
      </text>
    </comment>
    <comment ref="O896" authorId="10" shapeId="0" xr:uid="{00000000-0006-0000-0000-00003D040000}">
      <text>
        <r>
          <rPr>
            <b/>
            <sz val="9"/>
            <color indexed="81"/>
            <rFont val="Arial"/>
            <family val="2"/>
          </rPr>
          <t>John Iverson:</t>
        </r>
        <r>
          <rPr>
            <sz val="9"/>
            <color indexed="81"/>
            <rFont val="Arial"/>
            <family val="2"/>
          </rPr>
          <t xml:space="preserve">
"21.5-23.0"</t>
        </r>
      </text>
    </comment>
    <comment ref="P896" authorId="10" shapeId="0" xr:uid="{00000000-0006-0000-0000-00003E040000}">
      <text>
        <r>
          <rPr>
            <b/>
            <sz val="9"/>
            <color indexed="81"/>
            <rFont val="Arial"/>
            <family val="2"/>
          </rPr>
          <t>John Iverson:</t>
        </r>
        <r>
          <rPr>
            <sz val="9"/>
            <color indexed="81"/>
            <rFont val="Arial"/>
            <family val="2"/>
          </rPr>
          <t xml:space="preserve">
"10-16"</t>
        </r>
      </text>
    </comment>
    <comment ref="J897" authorId="495" shapeId="0" xr:uid="{00000000-0006-0000-0000-00003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N898" authorId="496" shapeId="0" xr:uid="{00000000-0006-0000-0000-00004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31-42.5 by taking median</t>
        </r>
      </text>
    </comment>
    <comment ref="O898" authorId="497" shapeId="0" xr:uid="{00000000-0006-0000-0000-00004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22-27.5 by taking median</t>
        </r>
      </text>
    </comment>
    <comment ref="P898" authorId="10" shapeId="0" xr:uid="{00000000-0006-0000-0000-000042040000}">
      <text>
        <r>
          <rPr>
            <b/>
            <sz val="9"/>
            <color indexed="81"/>
            <rFont val="Arial"/>
            <family val="2"/>
          </rPr>
          <t>John Iverson:</t>
        </r>
        <r>
          <rPr>
            <sz val="9"/>
            <color indexed="81"/>
            <rFont val="Arial"/>
            <family val="2"/>
          </rPr>
          <t xml:space="preserve">
10-17 g</t>
        </r>
      </text>
    </comment>
    <comment ref="T898" authorId="7" shapeId="0" xr:uid="{00000000-0006-0000-0000-000043040000}">
      <text>
        <r>
          <rPr>
            <b/>
            <sz val="9"/>
            <color indexed="81"/>
            <rFont val="Tahoma"/>
            <family val="2"/>
          </rPr>
          <t>JEnnen:</t>
        </r>
        <r>
          <rPr>
            <sz val="9"/>
            <color indexed="81"/>
            <rFont val="Tahoma"/>
            <family val="2"/>
          </rPr>
          <t xml:space="preserve">
2-4 median</t>
        </r>
      </text>
    </comment>
    <comment ref="P900" authorId="10" shapeId="0" xr:uid="{00000000-0006-0000-0000-000044040000}">
      <text>
        <r>
          <rPr>
            <b/>
            <sz val="9"/>
            <color indexed="81"/>
            <rFont val="Arial"/>
            <family val="2"/>
          </rPr>
          <t>John Iverson:</t>
        </r>
        <r>
          <rPr>
            <sz val="9"/>
            <color indexed="81"/>
            <rFont val="Arial"/>
            <family val="2"/>
          </rPr>
          <t xml:space="preserve">
estimated from max and min values for all clutches</t>
        </r>
      </text>
    </comment>
    <comment ref="J901" authorId="498" shapeId="0" xr:uid="{00000000-0006-0000-0000-00004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J902" authorId="499" shapeId="0" xr:uid="{00000000-0006-0000-0000-00004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T902" authorId="7" shapeId="0" xr:uid="{00000000-0006-0000-0000-000047040000}">
      <text>
        <r>
          <rPr>
            <b/>
            <sz val="9"/>
            <color indexed="81"/>
            <rFont val="Tahoma"/>
            <family val="2"/>
          </rPr>
          <t>JEnnen:</t>
        </r>
        <r>
          <rPr>
            <sz val="9"/>
            <color indexed="81"/>
            <rFont val="Tahoma"/>
            <family val="2"/>
          </rPr>
          <t xml:space="preserve">
1-2 reported</t>
        </r>
      </text>
    </comment>
    <comment ref="J903" authorId="500" shapeId="0" xr:uid="{00000000-0006-0000-0000-00004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L903" authorId="7" shapeId="0" xr:uid="{00000000-0006-0000-0000-000049040000}">
      <text>
        <r>
          <rPr>
            <b/>
            <sz val="9"/>
            <color indexed="81"/>
            <rFont val="Tahoma"/>
            <family val="2"/>
          </rPr>
          <t>JEnnen:</t>
        </r>
        <r>
          <rPr>
            <sz val="9"/>
            <color indexed="81"/>
            <rFont val="Tahoma"/>
            <family val="2"/>
          </rPr>
          <t xml:space="preserve">
12-25</t>
        </r>
      </text>
    </comment>
    <comment ref="P903" authorId="501" shapeId="0" xr:uid="{00000000-0006-0000-0000-00004A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T. scripta elegans (Dec 2020)</t>
        </r>
      </text>
    </comment>
    <comment ref="T903" authorId="7" shapeId="0" xr:uid="{00000000-0006-0000-0000-00004B040000}">
      <text>
        <r>
          <rPr>
            <b/>
            <sz val="9"/>
            <color indexed="81"/>
            <rFont val="Tahoma"/>
            <family val="2"/>
          </rPr>
          <t>JEnnen:</t>
        </r>
        <r>
          <rPr>
            <sz val="9"/>
            <color indexed="81"/>
            <rFont val="Tahoma"/>
            <family val="2"/>
          </rPr>
          <t xml:space="preserve">
2-3 reported</t>
        </r>
      </text>
    </comment>
    <comment ref="J904" authorId="502" shapeId="0" xr:uid="{00000000-0006-0000-0000-00004C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04" authorId="1" shapeId="0" xr:uid="{00000000-0006-0000-0000-00004D040000}">
      <text>
        <r>
          <rPr>
            <sz val="10"/>
            <color rgb="FF000000"/>
            <rFont val="Arial"/>
            <family val="2"/>
          </rPr>
          <t>Estimated for the egg dataset using T. decorata. (Aug 2020)</t>
        </r>
      </text>
    </comment>
    <comment ref="J907" authorId="503" shapeId="0" xr:uid="{00000000-0006-0000-0000-00004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07" authorId="504" shapeId="0" xr:uid="{00000000-0006-0000-0000-00004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Trachemys decorata (July 2020)</t>
        </r>
      </text>
    </comment>
    <comment ref="J908" authorId="505" shapeId="0" xr:uid="{00000000-0006-0000-0000-00005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J909" authorId="506" shapeId="0" xr:uid="{00000000-0006-0000-0000-00005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10" authorId="507" shapeId="0" xr:uid="{00000000-0006-0000-0000-00005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Trachemys call. chichiriviche (July 2020)</t>
        </r>
      </text>
    </comment>
    <comment ref="J911" authorId="508" shapeId="0" xr:uid="{00000000-0006-0000-0000-00005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11" authorId="509" shapeId="0" xr:uid="{00000000-0006-0000-0000-00005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Trachemys call. chichiriviche (July 2020)</t>
        </r>
      </text>
    </comment>
    <comment ref="P912" authorId="510" shapeId="0" xr:uid="{00000000-0006-0000-0000-00005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data set for T. venusta (OCt 2020).</t>
        </r>
      </text>
    </comment>
    <comment ref="G913" authorId="511" shapeId="0" xr:uid="{00000000-0006-0000-0000-000056040000}">
      <text>
        <r>
          <rPr>
            <sz val="10"/>
            <color rgb="FF000000"/>
            <rFont val="Arial"/>
            <family val="2"/>
          </rPr>
          <t xml:space="preserve">
Comment:
    The deleted entries were -32.6 and -32.54</t>
        </r>
      </text>
    </comment>
    <comment ref="J914" authorId="512" shapeId="0" xr:uid="{00000000-0006-0000-0000-00005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14" authorId="513" shapeId="0" xr:uid="{00000000-0006-0000-0000-00005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Trachemys call. chichiriviche (July 2020)</t>
        </r>
      </text>
    </comment>
    <comment ref="J915" authorId="514" shapeId="0" xr:uid="{00000000-0006-0000-0000-00005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15" authorId="515" shapeId="0" xr:uid="{00000000-0006-0000-0000-00005A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Trachemys call. chichiriviche (July 2020)</t>
        </r>
      </text>
    </comment>
    <comment ref="J916" authorId="516" shapeId="0" xr:uid="{00000000-0006-0000-0000-00005B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16" authorId="517" shapeId="0" xr:uid="{00000000-0006-0000-0000-00005C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Trachemys call. chichiriviche (July 2020)</t>
        </r>
      </text>
    </comment>
    <comment ref="I917" authorId="518" shapeId="0" xr:uid="{00000000-0006-0000-0000-00005D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18.3-24.7 by taking the median</t>
        </r>
      </text>
    </comment>
    <comment ref="J917" authorId="519" shapeId="0" xr:uid="{00000000-0006-0000-0000-00005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T. scripta from AR using Iverson unpub. (Sept 2020)</t>
        </r>
      </text>
    </comment>
    <comment ref="N919" authorId="10" shapeId="0" xr:uid="{00000000-0006-0000-0000-00005F040000}">
      <text>
        <r>
          <rPr>
            <b/>
            <sz val="9"/>
            <color indexed="81"/>
            <rFont val="Arial"/>
            <family val="2"/>
          </rPr>
          <t>John Iverson:</t>
        </r>
        <r>
          <rPr>
            <sz val="9"/>
            <color indexed="81"/>
            <rFont val="Arial"/>
            <family val="2"/>
          </rPr>
          <t xml:space="preserve">
"37-40"</t>
        </r>
      </text>
    </comment>
    <comment ref="O919" authorId="10" shapeId="0" xr:uid="{00000000-0006-0000-0000-000060040000}">
      <text>
        <r>
          <rPr>
            <b/>
            <sz val="9"/>
            <color indexed="81"/>
            <rFont val="Arial"/>
            <family val="2"/>
          </rPr>
          <t>John Iverson:</t>
        </r>
        <r>
          <rPr>
            <sz val="9"/>
            <color indexed="81"/>
            <rFont val="Arial"/>
            <family val="2"/>
          </rPr>
          <t xml:space="preserve">
"20-22"</t>
        </r>
      </text>
    </comment>
    <comment ref="P919" authorId="10" shapeId="0" xr:uid="{00000000-0006-0000-0000-000061040000}">
      <text>
        <r>
          <rPr>
            <b/>
            <sz val="9"/>
            <color indexed="81"/>
            <rFont val="Arial"/>
            <family val="2"/>
          </rPr>
          <t>John Iverson:</t>
        </r>
        <r>
          <rPr>
            <sz val="9"/>
            <color indexed="81"/>
            <rFont val="Arial"/>
            <family val="2"/>
          </rPr>
          <t xml:space="preserve">
"13-14"</t>
        </r>
      </text>
    </comment>
    <comment ref="I920" authorId="520" shapeId="0" xr:uid="{00000000-0006-0000-0000-00006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23.4; CL estimated from PL/CL ratio in Bager et al. (2010; Tropical Zoology 23: 181-194) (0.936)</t>
        </r>
      </text>
    </comment>
    <comment ref="J920" authorId="521" shapeId="0" xr:uid="{00000000-0006-0000-0000-00006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J921" authorId="522" shapeId="0" xr:uid="{00000000-0006-0000-0000-00006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J922" authorId="523" shapeId="0" xr:uid="{00000000-0006-0000-0000-00006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22" authorId="524" shapeId="0" xr:uid="{00000000-0006-0000-0000-00006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using T. scripta</t>
        </r>
      </text>
    </comment>
    <comment ref="I923" authorId="10" shapeId="0" xr:uid="{00000000-0006-0000-0000-000067040000}">
      <text>
        <r>
          <rPr>
            <b/>
            <sz val="9"/>
            <color indexed="81"/>
            <rFont val="Arial"/>
            <family val="2"/>
          </rPr>
          <t>John Iverson:</t>
        </r>
        <r>
          <rPr>
            <sz val="9"/>
            <color indexed="81"/>
            <rFont val="Arial"/>
            <family val="2"/>
          </rPr>
          <t xml:space="preserve">
midline PL = 22.9; CL estimated from data in Stuart and Painter 2006 Herp Review 37:79.</t>
        </r>
      </text>
    </comment>
    <comment ref="P923" authorId="525" shapeId="0" xr:uid="{00000000-0006-0000-0000-00006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Trachemys scripta (AUgust 2020)</t>
        </r>
      </text>
    </comment>
    <comment ref="J924" authorId="526" shapeId="0" xr:uid="{00000000-0006-0000-0000-00006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L924" authorId="10" shapeId="0" xr:uid="{00000000-0006-0000-0000-00006A040000}">
      <text>
        <r>
          <rPr>
            <b/>
            <sz val="9"/>
            <color indexed="81"/>
            <rFont val="Arial"/>
            <family val="2"/>
          </rPr>
          <t>John Iverson:</t>
        </r>
        <r>
          <rPr>
            <sz val="9"/>
            <color indexed="81"/>
            <rFont val="Arial"/>
            <family val="2"/>
          </rPr>
          <t xml:space="preserve">
Original paper reported CS = 29 from female held in captivity; 29 represents 2 clutches based on RCM values</t>
        </r>
      </text>
    </comment>
    <comment ref="P924" authorId="527" shapeId="0" xr:uid="{00000000-0006-0000-0000-00006B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11.33 g; estimated from egg regression database using T. scripta from Florida (oct 2020)</t>
        </r>
      </text>
    </comment>
    <comment ref="N926" authorId="7" shapeId="0" xr:uid="{00000000-0006-0000-0000-00006C040000}">
      <text>
        <r>
          <rPr>
            <b/>
            <sz val="9"/>
            <color indexed="81"/>
            <rFont val="Tahoma"/>
            <family val="2"/>
          </rPr>
          <t>JEnnen:</t>
        </r>
        <r>
          <rPr>
            <sz val="9"/>
            <color indexed="81"/>
            <rFont val="Tahoma"/>
            <family val="2"/>
          </rPr>
          <t xml:space="preserve">
38-40 reported</t>
        </r>
      </text>
    </comment>
    <comment ref="O926" authorId="7" shapeId="0" xr:uid="{00000000-0006-0000-0000-00006D040000}">
      <text>
        <r>
          <rPr>
            <b/>
            <sz val="9"/>
            <color indexed="81"/>
            <rFont val="Tahoma"/>
            <family val="2"/>
          </rPr>
          <t>JEnnen:</t>
        </r>
        <r>
          <rPr>
            <sz val="9"/>
            <color indexed="81"/>
            <rFont val="Tahoma"/>
            <family val="2"/>
          </rPr>
          <t xml:space="preserve">
22-25 reported</t>
        </r>
      </text>
    </comment>
    <comment ref="P926" authorId="528" shapeId="0" xr:uid="{00000000-0006-0000-0000-00006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Trachemys scripta (AUgust 2020)</t>
        </r>
      </text>
    </comment>
    <comment ref="R926" authorId="7" shapeId="0" xr:uid="{00000000-0006-0000-0000-00006F040000}">
      <text>
        <r>
          <rPr>
            <b/>
            <sz val="9"/>
            <color indexed="81"/>
            <rFont val="Tahoma"/>
            <family val="2"/>
          </rPr>
          <t>JEnnen:</t>
        </r>
        <r>
          <rPr>
            <sz val="9"/>
            <color indexed="81"/>
            <rFont val="Tahoma"/>
            <family val="2"/>
          </rPr>
          <t xml:space="preserve">
252.8295-321.60 estiamted range</t>
        </r>
      </text>
    </comment>
    <comment ref="J927" authorId="529" shapeId="0" xr:uid="{00000000-0006-0000-0000-00007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27" authorId="530" shapeId="0" xr:uid="{00000000-0006-0000-0000-00007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Trachemys scripta (AUgust 2020)</t>
        </r>
      </text>
    </comment>
    <comment ref="T927" authorId="7" shapeId="0" xr:uid="{00000000-0006-0000-0000-000072040000}">
      <text>
        <r>
          <rPr>
            <b/>
            <sz val="9"/>
            <color indexed="81"/>
            <rFont val="Tahoma"/>
            <family val="2"/>
          </rPr>
          <t>JEnnen:</t>
        </r>
        <r>
          <rPr>
            <sz val="9"/>
            <color indexed="81"/>
            <rFont val="Tahoma"/>
            <family val="2"/>
          </rPr>
          <t xml:space="preserve">
3-4 reported</t>
        </r>
      </text>
    </comment>
    <comment ref="J928" authorId="10" shapeId="0" xr:uid="{00000000-0006-0000-0000-000073040000}">
      <text>
        <r>
          <rPr>
            <b/>
            <sz val="9"/>
            <color indexed="81"/>
            <rFont val="Arial"/>
            <family val="2"/>
          </rPr>
          <t>John Iverson:</t>
        </r>
        <r>
          <rPr>
            <sz val="9"/>
            <color indexed="81"/>
            <rFont val="Arial"/>
            <family val="2"/>
          </rPr>
          <t xml:space="preserve">
Estimated from BM-CL regression for Arkanss T. scripta</t>
        </r>
      </text>
    </comment>
    <comment ref="T931" authorId="7" shapeId="0" xr:uid="{00000000-0006-0000-0000-000074040000}">
      <text>
        <r>
          <rPr>
            <b/>
            <sz val="9"/>
            <color indexed="81"/>
            <rFont val="Tahoma"/>
            <family val="2"/>
          </rPr>
          <t>JEnnen:</t>
        </r>
        <r>
          <rPr>
            <sz val="9"/>
            <color indexed="81"/>
            <rFont val="Tahoma"/>
            <family val="2"/>
          </rPr>
          <t xml:space="preserve">
3-4 reported</t>
        </r>
      </text>
    </comment>
    <comment ref="J932" authorId="531" shapeId="0" xr:uid="{00000000-0006-0000-0000-00007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L933" authorId="532" shapeId="0" xr:uid="{00000000-0006-0000-0000-00007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P934" authorId="10" shapeId="0" xr:uid="{00000000-0006-0000-0000-000077040000}">
      <text>
        <r>
          <rPr>
            <b/>
            <sz val="9"/>
            <color indexed="81"/>
            <rFont val="Arial"/>
            <family val="2"/>
          </rPr>
          <t>John Iverson:</t>
        </r>
        <r>
          <rPr>
            <sz val="9"/>
            <color indexed="81"/>
            <rFont val="Arial"/>
            <family val="2"/>
          </rPr>
          <t xml:space="preserve">
estimated from our egg data set</t>
        </r>
      </text>
    </comment>
    <comment ref="G935" authorId="10" shapeId="0" xr:uid="{00000000-0006-0000-0000-000078040000}">
      <text>
        <r>
          <rPr>
            <b/>
            <sz val="9"/>
            <color indexed="81"/>
            <rFont val="Arial"/>
            <family val="2"/>
          </rPr>
          <t>John Iverson:</t>
        </r>
        <r>
          <rPr>
            <sz val="9"/>
            <color indexed="81"/>
            <rFont val="Arial"/>
            <family val="2"/>
          </rPr>
          <t xml:space="preserve">
estimated</t>
        </r>
      </text>
    </comment>
    <comment ref="P935" authorId="10" shapeId="0" xr:uid="{00000000-0006-0000-0000-000079040000}">
      <text>
        <r>
          <rPr>
            <b/>
            <sz val="9"/>
            <color indexed="81"/>
            <rFont val="Arial"/>
            <family val="2"/>
          </rPr>
          <t>John Iverson:</t>
        </r>
        <r>
          <rPr>
            <sz val="9"/>
            <color indexed="81"/>
            <rFont val="Arial"/>
            <family val="2"/>
          </rPr>
          <t xml:space="preserve">
estimated from our egg data set</t>
        </r>
      </text>
    </comment>
    <comment ref="I937" authorId="10" shapeId="0" xr:uid="{00000000-0006-0000-0000-00007A040000}">
      <text>
        <r>
          <rPr>
            <b/>
            <sz val="9"/>
            <color indexed="81"/>
            <rFont val="Arial"/>
            <family val="2"/>
          </rPr>
          <t>John Iverson:</t>
        </r>
        <r>
          <rPr>
            <sz val="9"/>
            <color indexed="81"/>
            <rFont val="Arial"/>
            <family val="2"/>
          </rPr>
          <t xml:space="preserve">
PL estimated from Figure 29 = 21.05; CL estimated from PL/CL ratio in Lewis et al. 2018 HCB: 0.942</t>
        </r>
      </text>
    </comment>
    <comment ref="J937" authorId="10" shapeId="0" xr:uid="{00000000-0006-0000-0000-00007B040000}">
      <text>
        <r>
          <rPr>
            <b/>
            <sz val="9"/>
            <color indexed="81"/>
            <rFont val="Arial"/>
            <family val="2"/>
          </rPr>
          <t>John Iverson:</t>
        </r>
        <r>
          <rPr>
            <sz val="9"/>
            <color indexed="81"/>
            <rFont val="Arial"/>
            <family val="2"/>
          </rPr>
          <t xml:space="preserve">
estimated from our BM-CL data set from Iverson unpublished from Arkansas</t>
        </r>
      </text>
    </comment>
    <comment ref="L937" authorId="10" shapeId="0" xr:uid="{00000000-0006-0000-0000-00007C040000}">
      <text>
        <r>
          <rPr>
            <b/>
            <sz val="9"/>
            <color indexed="81"/>
            <rFont val="Arial"/>
            <family val="2"/>
          </rPr>
          <t>John Iverson:</t>
        </r>
        <r>
          <rPr>
            <sz val="9"/>
            <color indexed="81"/>
            <rFont val="Arial"/>
            <family val="2"/>
          </rPr>
          <t xml:space="preserve">
estimated from Fig. 31</t>
        </r>
      </text>
    </comment>
    <comment ref="P937" authorId="10" shapeId="0" xr:uid="{00000000-0006-0000-0000-00007D040000}">
      <text>
        <r>
          <rPr>
            <b/>
            <sz val="9"/>
            <color indexed="81"/>
            <rFont val="Arial"/>
            <family val="2"/>
          </rPr>
          <t>John Iverson:</t>
        </r>
        <r>
          <rPr>
            <sz val="9"/>
            <color indexed="81"/>
            <rFont val="Arial"/>
            <family val="2"/>
          </rPr>
          <t xml:space="preserve">
egg data from our egg data set for Reelfoot 
Lake</t>
        </r>
      </text>
    </comment>
    <comment ref="I938" authorId="533" shapeId="0" xr:uid="{00000000-0006-0000-0000-00007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17.64; CL estimated from PL/CL ratio in Lewis et al. 2018 (0.936)</t>
        </r>
      </text>
    </comment>
    <comment ref="J938" authorId="534" shapeId="0" xr:uid="{00000000-0006-0000-0000-00007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I939" authorId="535" shapeId="0" xr:uid="{00000000-0006-0000-0000-00008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19.30; CL estimated from PL/CL ratio in Lewis et al. 2018 (0.936)</t>
        </r>
      </text>
    </comment>
    <comment ref="J939" authorId="536" shapeId="0" xr:uid="{00000000-0006-0000-0000-00008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I940" authorId="537" shapeId="0" xr:uid="{00000000-0006-0000-0000-00008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20.87; CL estimated from PL/CL ratio in Lewis et al. 2018 (0.936)</t>
        </r>
      </text>
    </comment>
    <comment ref="J940" authorId="538" shapeId="0" xr:uid="{00000000-0006-0000-0000-00008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I941" authorId="539" shapeId="0" xr:uid="{00000000-0006-0000-0000-00008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23; CL estimated from PL/CL ratio in Lewis et al. 2018 (0.936)</t>
        </r>
      </text>
    </comment>
    <comment ref="J941" authorId="540" shapeId="0" xr:uid="{00000000-0006-0000-0000-00008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I942" authorId="541" shapeId="0" xr:uid="{00000000-0006-0000-0000-00008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24.2; CL estimated from PL/CL ratio in Lewis et al. 2018 (0.936)</t>
        </r>
      </text>
    </comment>
    <comment ref="J942" authorId="542" shapeId="0" xr:uid="{00000000-0006-0000-0000-00008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I943" authorId="543" shapeId="0" xr:uid="{00000000-0006-0000-0000-00008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26.4; CL estimated from PL/CL ratio in Lewis et al. 2018 (0.936)</t>
        </r>
      </text>
    </comment>
    <comment ref="J943" authorId="544" shapeId="0" xr:uid="{00000000-0006-0000-0000-00008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I944" authorId="545" shapeId="0" xr:uid="{00000000-0006-0000-0000-00008A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19.44; CL estimated from PL/CL ratio in Lewis et al. 2018 (0.936)</t>
        </r>
      </text>
    </comment>
    <comment ref="J944" authorId="546" shapeId="0" xr:uid="{00000000-0006-0000-0000-00008B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J946" authorId="547" shapeId="0" xr:uid="{00000000-0006-0000-0000-00008C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0.000520*CL^2.7474 in Lewis et al. 2018 unpublished</t>
        </r>
      </text>
    </comment>
    <comment ref="I947" authorId="10" shapeId="0" xr:uid="{00000000-0006-0000-0000-00008D040000}">
      <text>
        <r>
          <rPr>
            <b/>
            <sz val="9"/>
            <color indexed="81"/>
            <rFont val="Arial"/>
            <family val="2"/>
          </rPr>
          <t>John Iverson:</t>
        </r>
        <r>
          <rPr>
            <sz val="9"/>
            <color indexed="81"/>
            <rFont val="Arial"/>
            <family val="2"/>
          </rPr>
          <t xml:space="preserve">
estimated from equation in Fig. 3 based on mean clutch size, and PL/CL - 9,936 from Lewis et al 2018</t>
        </r>
      </text>
    </comment>
    <comment ref="J947" authorId="548" shapeId="0" xr:uid="{00000000-0006-0000-0000-00008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I950" authorId="10" shapeId="0" xr:uid="{00000000-0006-0000-0000-00008F040000}">
      <text>
        <r>
          <rPr>
            <b/>
            <sz val="9"/>
            <color indexed="81"/>
            <rFont val="Arial"/>
            <family val="2"/>
          </rPr>
          <t>John Iverson:</t>
        </r>
        <r>
          <rPr>
            <sz val="9"/>
            <color indexed="81"/>
            <rFont val="Arial"/>
            <family val="2"/>
          </rPr>
          <t xml:space="preserve">
PL from Figure 14 = 20.47; CL estimated from PL/CL ration in Lewis et al. 2018 HCB: 0.942</t>
        </r>
      </text>
    </comment>
    <comment ref="J950" authorId="10" shapeId="0" xr:uid="{00000000-0006-0000-0000-000090040000}">
      <text>
        <r>
          <rPr>
            <b/>
            <sz val="9"/>
            <color indexed="81"/>
            <rFont val="Arial"/>
            <family val="2"/>
          </rPr>
          <t>John Iverson:</t>
        </r>
        <r>
          <rPr>
            <sz val="9"/>
            <color indexed="81"/>
            <rFont val="Arial"/>
            <family val="2"/>
          </rPr>
          <t xml:space="preserve">
estimated from BM-CL data in Lewis et al. 2018 HCB</t>
        </r>
      </text>
    </comment>
    <comment ref="I953" authorId="549" shapeId="0" xr:uid="{00000000-0006-0000-0000-00009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21.03; CL estimated from ratio in Lewis et al 2018 (HCB; 0.942)</t>
        </r>
      </text>
    </comment>
    <comment ref="R953" authorId="550" shapeId="0" xr:uid="{00000000-0006-0000-0000-00009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card has 108.8g</t>
        </r>
      </text>
    </comment>
    <comment ref="J954" authorId="10" shapeId="0" xr:uid="{00000000-0006-0000-0000-000093040000}">
      <text>
        <r>
          <rPr>
            <b/>
            <sz val="9"/>
            <color indexed="81"/>
            <rFont val="Arial"/>
            <family val="2"/>
          </rPr>
          <t>John Iverson:</t>
        </r>
        <r>
          <rPr>
            <sz val="9"/>
            <color indexed="81"/>
            <rFont val="Arial"/>
            <family val="2"/>
          </rPr>
          <t xml:space="preserve">
estimated from the BM-CL data for Arkansas T. s. elegans (iverson unpublished)</t>
        </r>
      </text>
    </comment>
    <comment ref="P954" authorId="10" shapeId="0" xr:uid="{00000000-0006-0000-0000-000094040000}">
      <text>
        <r>
          <rPr>
            <b/>
            <sz val="9"/>
            <color indexed="81"/>
            <rFont val="Arial"/>
            <family val="2"/>
          </rPr>
          <t>John Iverson:</t>
        </r>
        <r>
          <rPr>
            <sz val="9"/>
            <color indexed="81"/>
            <rFont val="Arial"/>
            <family val="2"/>
          </rPr>
          <t xml:space="preserve">
estimated from our egg data set</t>
        </r>
      </text>
    </comment>
    <comment ref="J955" authorId="551" shapeId="0" xr:uid="{00000000-0006-0000-0000-00009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Indiana from Lewis et al. 2018, unpublished</t>
        </r>
      </text>
    </comment>
    <comment ref="K956" authorId="7" shapeId="0" xr:uid="{00000000-0006-0000-0000-000096040000}">
      <text>
        <r>
          <rPr>
            <b/>
            <sz val="9"/>
            <color indexed="81"/>
            <rFont val="Tahoma"/>
            <family val="2"/>
          </rPr>
          <t>JEnnen:</t>
        </r>
        <r>
          <rPr>
            <sz val="9"/>
            <color indexed="81"/>
            <rFont val="Tahoma"/>
            <family val="2"/>
          </rPr>
          <t xml:space="preserve">
8-9 reported</t>
        </r>
      </text>
    </comment>
    <comment ref="J957" authorId="552" shapeId="0" xr:uid="{00000000-0006-0000-0000-00009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0.0958*CL^3.213 Iverson 1984</t>
        </r>
      </text>
    </comment>
    <comment ref="P957" authorId="553" shapeId="0" xr:uid="{00000000-0006-0000-0000-00009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from egg data table</t>
        </r>
      </text>
    </comment>
    <comment ref="N961" authorId="10" shapeId="0" xr:uid="{00000000-0006-0000-0000-000099040000}">
      <text>
        <r>
          <rPr>
            <b/>
            <sz val="9"/>
            <color indexed="81"/>
            <rFont val="Arial"/>
            <family val="2"/>
          </rPr>
          <t>John Iverson:</t>
        </r>
        <r>
          <rPr>
            <sz val="9"/>
            <color indexed="81"/>
            <rFont val="Arial"/>
            <family val="2"/>
          </rPr>
          <t xml:space="preserve">
estimated from our egg data set for P. concinna/floridana</t>
        </r>
      </text>
    </comment>
    <comment ref="O961" authorId="10" shapeId="0" xr:uid="{00000000-0006-0000-0000-00009A040000}">
      <text>
        <r>
          <rPr>
            <b/>
            <sz val="9"/>
            <color indexed="81"/>
            <rFont val="Arial"/>
            <family val="2"/>
          </rPr>
          <t>John Iverson:</t>
        </r>
        <r>
          <rPr>
            <sz val="9"/>
            <color indexed="81"/>
            <rFont val="Arial"/>
            <family val="2"/>
          </rPr>
          <t xml:space="preserve">
estimated from our egg data set for P. concinna/floridana</t>
        </r>
      </text>
    </comment>
    <comment ref="P961" authorId="10" shapeId="0" xr:uid="{00000000-0006-0000-0000-00009B040000}">
      <text>
        <r>
          <rPr>
            <b/>
            <sz val="9"/>
            <color indexed="81"/>
            <rFont val="Arial"/>
            <family val="2"/>
          </rPr>
          <t>John Iverson:</t>
        </r>
        <r>
          <rPr>
            <sz val="9"/>
            <color indexed="81"/>
            <rFont val="Arial"/>
            <family val="2"/>
          </rPr>
          <t xml:space="preserve">
estimated from RCM in thesis</t>
        </r>
      </text>
    </comment>
    <comment ref="T961" authorId="7" shapeId="0" xr:uid="{00000000-0006-0000-0000-00009C040000}">
      <text>
        <r>
          <rPr>
            <b/>
            <sz val="9"/>
            <color indexed="81"/>
            <rFont val="Tahoma"/>
            <family val="2"/>
          </rPr>
          <t>1.61 range 1-2</t>
        </r>
      </text>
    </comment>
    <comment ref="N962" authorId="10" shapeId="0" xr:uid="{00000000-0006-0000-0000-00009D040000}">
      <text>
        <r>
          <rPr>
            <b/>
            <sz val="9"/>
            <color indexed="81"/>
            <rFont val="Arial"/>
            <family val="2"/>
          </rPr>
          <t>John Iverson:</t>
        </r>
        <r>
          <rPr>
            <sz val="9"/>
            <color indexed="81"/>
            <rFont val="Arial"/>
            <family val="2"/>
          </rPr>
          <t xml:space="preserve">
estimated from our egg data set for P. concinna/floridana</t>
        </r>
      </text>
    </comment>
    <comment ref="O962" authorId="10" shapeId="0" xr:uid="{00000000-0006-0000-0000-00009E040000}">
      <text>
        <r>
          <rPr>
            <b/>
            <sz val="9"/>
            <color indexed="81"/>
            <rFont val="Arial"/>
            <family val="2"/>
          </rPr>
          <t>John Iverson:</t>
        </r>
        <r>
          <rPr>
            <sz val="9"/>
            <color indexed="81"/>
            <rFont val="Arial"/>
            <family val="2"/>
          </rPr>
          <t xml:space="preserve">
estimated from our egg data set for P. concinna/floridana</t>
        </r>
      </text>
    </comment>
    <comment ref="P962" authorId="10" shapeId="0" xr:uid="{00000000-0006-0000-0000-00009F040000}">
      <text>
        <r>
          <rPr>
            <b/>
            <sz val="9"/>
            <color indexed="81"/>
            <rFont val="Arial"/>
            <family val="2"/>
          </rPr>
          <t>John Iverson:</t>
        </r>
        <r>
          <rPr>
            <sz val="9"/>
            <color indexed="81"/>
            <rFont val="Arial"/>
            <family val="2"/>
          </rPr>
          <t xml:space="preserve">
estimated from RCM in thesis</t>
        </r>
      </text>
    </comment>
    <comment ref="T962" authorId="7" shapeId="0" xr:uid="{00000000-0006-0000-0000-0000A0040000}">
      <text>
        <r>
          <rPr>
            <b/>
            <sz val="9"/>
            <color indexed="81"/>
            <rFont val="Tahoma"/>
            <family val="2"/>
          </rPr>
          <t>JEnnen:</t>
        </r>
        <r>
          <rPr>
            <sz val="9"/>
            <color indexed="81"/>
            <rFont val="Tahoma"/>
            <family val="2"/>
          </rPr>
          <t xml:space="preserve">
range 1-2</t>
        </r>
      </text>
    </comment>
    <comment ref="I963" authorId="10" shapeId="0" xr:uid="{00000000-0006-0000-0000-0000A1040000}">
      <text>
        <r>
          <rPr>
            <b/>
            <sz val="9"/>
            <color indexed="81"/>
            <rFont val="Arial"/>
            <family val="2"/>
          </rPr>
          <t>John Iverson:</t>
        </r>
        <r>
          <rPr>
            <sz val="9"/>
            <color indexed="81"/>
            <rFont val="Arial"/>
            <family val="2"/>
          </rPr>
          <t xml:space="preserve">
PL = 20.24; CL estimated from ratio in Lewis et al 2018 (HCB; 0.942)</t>
        </r>
      </text>
    </comment>
    <comment ref="I964" authorId="10" shapeId="0" xr:uid="{00000000-0006-0000-0000-0000A2040000}">
      <text>
        <r>
          <rPr>
            <b/>
            <sz val="9"/>
            <color indexed="81"/>
            <rFont val="Arial"/>
            <family val="2"/>
          </rPr>
          <t>John Iverson:</t>
        </r>
        <r>
          <rPr>
            <sz val="9"/>
            <color indexed="81"/>
            <rFont val="Arial"/>
            <family val="2"/>
          </rPr>
          <t xml:space="preserve">
PL = 21.13; CL estimated from ratio in Lewis et al 2018 (HCB; 0.942)</t>
        </r>
      </text>
    </comment>
    <comment ref="I965" authorId="10" shapeId="0" xr:uid="{00000000-0006-0000-0000-0000A3040000}">
      <text>
        <r>
          <rPr>
            <b/>
            <sz val="9"/>
            <color indexed="81"/>
            <rFont val="Arial"/>
            <family val="2"/>
          </rPr>
          <t>John Iverson:</t>
        </r>
        <r>
          <rPr>
            <sz val="9"/>
            <color indexed="81"/>
            <rFont val="Arial"/>
            <family val="2"/>
          </rPr>
          <t xml:space="preserve">
PL = 25.0; CL estimated from ratio in Lewis et al 2018 (HCB; 0.942)</t>
        </r>
      </text>
    </comment>
    <comment ref="I966" authorId="554" shapeId="0" xr:uid="{00000000-0006-0000-0000-0000A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21.8; CL estimated from ratio in Lewis et al 2018 (HCB; 0.942)</t>
        </r>
      </text>
    </comment>
    <comment ref="J966" authorId="555" shapeId="0" xr:uid="{00000000-0006-0000-0000-0000A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0.000520*CL^2.7474 in Lewis et al. 2018 unpublished</t>
        </r>
      </text>
    </comment>
    <comment ref="O966" authorId="556" shapeId="0" xr:uid="{00000000-0006-0000-0000-0000A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J968" authorId="10" shapeId="0" xr:uid="{00000000-0006-0000-0000-0000A7040000}">
      <text>
        <r>
          <rPr>
            <b/>
            <sz val="9"/>
            <color indexed="81"/>
            <rFont val="Arial"/>
            <family val="2"/>
          </rPr>
          <t>John Iverson:</t>
        </r>
        <r>
          <rPr>
            <sz val="9"/>
            <color indexed="81"/>
            <rFont val="Arial"/>
            <family val="2"/>
          </rPr>
          <t xml:space="preserve">
estimated from female BM-CL data in Lewis et al. 2018</t>
        </r>
      </text>
    </comment>
    <comment ref="N968" authorId="10" shapeId="0" xr:uid="{00000000-0006-0000-0000-0000A8040000}">
      <text>
        <r>
          <rPr>
            <b/>
            <sz val="9"/>
            <color indexed="81"/>
            <rFont val="Arial"/>
            <family val="2"/>
          </rPr>
          <t>John Iverson:</t>
        </r>
        <r>
          <rPr>
            <sz val="9"/>
            <color indexed="81"/>
            <rFont val="Arial"/>
            <family val="2"/>
          </rPr>
          <t xml:space="preserve">
estimated from our egg data base</t>
        </r>
      </text>
    </comment>
    <comment ref="O968" authorId="10" shapeId="0" xr:uid="{00000000-0006-0000-0000-0000A9040000}">
      <text>
        <r>
          <rPr>
            <b/>
            <sz val="9"/>
            <color indexed="81"/>
            <rFont val="Arial"/>
            <family val="2"/>
          </rPr>
          <t>John Iverson:</t>
        </r>
        <r>
          <rPr>
            <sz val="9"/>
            <color indexed="81"/>
            <rFont val="Arial"/>
            <family val="2"/>
          </rPr>
          <t xml:space="preserve">
estimated from our egg data base</t>
        </r>
      </text>
    </comment>
    <comment ref="I970" authorId="557" shapeId="0" xr:uid="{00000000-0006-0000-0000-0000AA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21.37; CL estimated from ratio in Lewis et al 2018 (HCB; 0.942)</t>
        </r>
      </text>
    </comment>
    <comment ref="J970" authorId="1" shapeId="0" xr:uid="{00000000-0006-0000-0000-0000AB040000}">
      <text>
        <r>
          <rPr>
            <sz val="10"/>
            <color rgb="FF000000"/>
            <rFont val="Arial"/>
            <family val="2"/>
          </rPr>
          <t>Gravid mass
	-Joshua Ennen</t>
        </r>
      </text>
    </comment>
    <comment ref="I971" authorId="10" shapeId="0" xr:uid="{00000000-0006-0000-0000-0000AC040000}">
      <text>
        <r>
          <rPr>
            <b/>
            <sz val="9"/>
            <color indexed="81"/>
            <rFont val="Arial"/>
            <family val="2"/>
          </rPr>
          <t>John Iverson:</t>
        </r>
        <r>
          <rPr>
            <sz val="9"/>
            <color indexed="81"/>
            <rFont val="Arial"/>
            <family val="2"/>
          </rPr>
          <t xml:space="preserve">
PL = 21.45; CL estimated from ratio in Lewis et al 2018 (HCB; 0.942)</t>
        </r>
      </text>
    </comment>
    <comment ref="J971" authorId="10" shapeId="0" xr:uid="{00000000-0006-0000-0000-0000AD040000}">
      <text>
        <r>
          <rPr>
            <b/>
            <sz val="9"/>
            <color indexed="81"/>
            <rFont val="Arial"/>
            <family val="2"/>
          </rPr>
          <t>John Iverson:</t>
        </r>
        <r>
          <rPr>
            <sz val="9"/>
            <color indexed="81"/>
            <rFont val="Arial"/>
            <family val="2"/>
          </rPr>
          <t xml:space="preserve">
estimated from BM-CL data in Lewis et al. 2018</t>
        </r>
      </text>
    </comment>
    <comment ref="I972" authorId="558" shapeId="0" xr:uid="{00000000-0006-0000-0000-0000A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20.9; CL estimated from ratio in Lewis et al 2018 (HCB; 0.942)</t>
        </r>
      </text>
    </comment>
    <comment ref="O972" authorId="559" shapeId="0" xr:uid="{00000000-0006-0000-0000-0000A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I973" authorId="560" shapeId="0" xr:uid="{00000000-0006-0000-0000-0000B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21.1; CL estimated from ratio in Lewis et al 2018 (HCB; 0.942)</t>
        </r>
      </text>
    </comment>
    <comment ref="O973" authorId="561" shapeId="0" xr:uid="{00000000-0006-0000-0000-0000B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I974" authorId="562" shapeId="0" xr:uid="{00000000-0006-0000-0000-0000B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21.4; CL estimated from ratio in Lewis et al 2018 (HCB; 0.942)</t>
        </r>
      </text>
    </comment>
    <comment ref="O974" authorId="563" shapeId="0" xr:uid="{00000000-0006-0000-0000-0000B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I975" authorId="564" shapeId="0" xr:uid="{00000000-0006-0000-0000-0000B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21.6; CL estimated from ratio in Lewis et al 2018 (HCB; 0.942)</t>
        </r>
      </text>
    </comment>
    <comment ref="O975" authorId="565" shapeId="0" xr:uid="{00000000-0006-0000-0000-0000B5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I976" authorId="566" shapeId="0" xr:uid="{00000000-0006-0000-0000-0000B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21.27; CL estimated from ratio in Lewis et al 2018 (HCB; 0.942)</t>
        </r>
      </text>
    </comment>
    <comment ref="O976" authorId="567" shapeId="0" xr:uid="{00000000-0006-0000-0000-0000B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I977" authorId="568" shapeId="0" xr:uid="{00000000-0006-0000-0000-0000B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21.47; CL estimated from ratio in Lewis et al 2018 (HCB; 0.942)</t>
        </r>
      </text>
    </comment>
    <comment ref="O977" authorId="569" shapeId="0" xr:uid="{00000000-0006-0000-0000-0000B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I978" authorId="570" shapeId="0" xr:uid="{00000000-0006-0000-0000-0000BA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21.37; CL estimated from ratio in Lewis et al 2018 (HCB; 0.942)</t>
        </r>
      </text>
    </comment>
    <comment ref="O978" authorId="571" shapeId="0" xr:uid="{00000000-0006-0000-0000-0000BB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1.1007x - 13.94 Iverson Unpublished data</t>
        </r>
      </text>
    </comment>
    <comment ref="J981" authorId="10" shapeId="0" xr:uid="{00000000-0006-0000-0000-0000BC040000}">
      <text>
        <r>
          <rPr>
            <b/>
            <sz val="9"/>
            <color indexed="81"/>
            <rFont val="Arial"/>
            <family val="2"/>
          </rPr>
          <t>John Iverson:</t>
        </r>
        <r>
          <rPr>
            <sz val="9"/>
            <color indexed="81"/>
            <rFont val="Arial"/>
            <family val="2"/>
          </rPr>
          <t xml:space="preserve">
estiated from BM-CL data from Iverson unpublished from Arkansas</t>
        </r>
      </text>
    </comment>
    <comment ref="P981" authorId="10" shapeId="0" xr:uid="{00000000-0006-0000-0000-0000BD040000}">
      <text>
        <r>
          <rPr>
            <b/>
            <sz val="9"/>
            <color indexed="81"/>
            <rFont val="Arial"/>
            <family val="2"/>
          </rPr>
          <t>John Iverson:</t>
        </r>
        <r>
          <rPr>
            <sz val="9"/>
            <color indexed="81"/>
            <rFont val="Arial"/>
            <family val="2"/>
          </rPr>
          <t xml:space="preserve">
estimated from our egg data set</t>
        </r>
      </text>
    </comment>
    <comment ref="J982" authorId="10" shapeId="0" xr:uid="{00000000-0006-0000-0000-0000BE040000}">
      <text>
        <r>
          <rPr>
            <b/>
            <sz val="9"/>
            <color indexed="81"/>
            <rFont val="Arial"/>
            <family val="2"/>
          </rPr>
          <t>John Iverson:</t>
        </r>
        <r>
          <rPr>
            <sz val="9"/>
            <color indexed="81"/>
            <rFont val="Arial"/>
            <family val="2"/>
          </rPr>
          <t xml:space="preserve">
estimated from our BM-CL data from Iverson unpublished from Arkansas</t>
        </r>
      </text>
    </comment>
    <comment ref="P982" authorId="10" shapeId="0" xr:uid="{00000000-0006-0000-0000-0000BF040000}">
      <text>
        <r>
          <rPr>
            <b/>
            <sz val="9"/>
            <color indexed="81"/>
            <rFont val="Arial"/>
            <family val="2"/>
          </rPr>
          <t>John Iverson:</t>
        </r>
        <r>
          <rPr>
            <sz val="9"/>
            <color indexed="81"/>
            <rFont val="Arial"/>
            <family val="2"/>
          </rPr>
          <t xml:space="preserve">
estimated from our egg data set.</t>
        </r>
      </text>
    </comment>
    <comment ref="T982" authorId="7" shapeId="0" xr:uid="{00000000-0006-0000-0000-0000C0040000}">
      <text>
        <r>
          <rPr>
            <b/>
            <sz val="9"/>
            <color indexed="81"/>
            <rFont val="Tahoma"/>
            <family val="2"/>
          </rPr>
          <t>JEnnen:</t>
        </r>
        <r>
          <rPr>
            <sz val="9"/>
            <color indexed="81"/>
            <rFont val="Tahoma"/>
            <family val="2"/>
          </rPr>
          <t xml:space="preserve">
1-3 reported</t>
        </r>
      </text>
    </comment>
    <comment ref="J984" authorId="10" shapeId="0" xr:uid="{00000000-0006-0000-0000-0000C1040000}">
      <text>
        <r>
          <rPr>
            <b/>
            <sz val="9"/>
            <color indexed="81"/>
            <rFont val="Arial"/>
            <family val="2"/>
          </rPr>
          <t>John Iverson:</t>
        </r>
        <r>
          <rPr>
            <sz val="9"/>
            <color indexed="81"/>
            <rFont val="Arial"/>
            <family val="2"/>
          </rPr>
          <t xml:space="preserve">
Estimated from BM-CL regression for T. scripta in Arklansas</t>
        </r>
      </text>
    </comment>
    <comment ref="J986" authorId="572" shapeId="0" xr:uid="{00000000-0006-0000-0000-0000C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86" authorId="573" shapeId="0" xr:uid="{00000000-0006-0000-0000-0000C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Trachemys venusta from our egg database (August 2020)</t>
        </r>
      </text>
    </comment>
    <comment ref="J987" authorId="574" shapeId="0" xr:uid="{00000000-0006-0000-0000-0000C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87" authorId="11" shapeId="0" xr:uid="{00000000-0006-0000-0000-0000C5040000}">
      <text>
        <r>
          <rPr>
            <b/>
            <sz val="9"/>
            <color indexed="81"/>
            <rFont val="Tahoma"/>
            <family val="2"/>
          </rPr>
          <t>TNACI:</t>
        </r>
        <r>
          <rPr>
            <sz val="9"/>
            <color indexed="81"/>
            <rFont val="Tahoma"/>
            <family val="2"/>
          </rPr>
          <t xml:space="preserve">
estimated from EM = 0.763EL + 0.921EW - 37.744 Iverson unpublished data</t>
        </r>
      </text>
    </comment>
    <comment ref="T987" authorId="7" shapeId="0" xr:uid="{00000000-0006-0000-0000-0000C6040000}">
      <text>
        <r>
          <rPr>
            <b/>
            <sz val="9"/>
            <color indexed="81"/>
            <rFont val="Tahoma"/>
            <family val="2"/>
          </rPr>
          <t>JEnnen:</t>
        </r>
        <r>
          <rPr>
            <sz val="9"/>
            <color indexed="81"/>
            <rFont val="Tahoma"/>
            <family val="2"/>
          </rPr>
          <t xml:space="preserve">
2-3 reported</t>
        </r>
      </text>
    </comment>
    <comment ref="J989" authorId="575" shapeId="0" xr:uid="{00000000-0006-0000-0000-0000C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L989" authorId="7" shapeId="0" xr:uid="{00000000-0006-0000-0000-0000C8040000}">
      <text>
        <r>
          <rPr>
            <b/>
            <sz val="9"/>
            <color indexed="81"/>
            <rFont val="Tahoma"/>
            <family val="2"/>
          </rPr>
          <t>JEnnen:</t>
        </r>
        <r>
          <rPr>
            <sz val="9"/>
            <color indexed="81"/>
            <rFont val="Tahoma"/>
            <family val="2"/>
          </rPr>
          <t xml:space="preserve">
8-20</t>
        </r>
      </text>
    </comment>
    <comment ref="P989" authorId="10" shapeId="0" xr:uid="{00000000-0006-0000-0000-0000C9040000}">
      <text>
        <r>
          <rPr>
            <b/>
            <sz val="9"/>
            <color indexed="81"/>
            <rFont val="Arial"/>
            <family val="2"/>
          </rPr>
          <t>John Iverson:</t>
        </r>
        <r>
          <rPr>
            <sz val="9"/>
            <color indexed="81"/>
            <rFont val="Arial"/>
            <family val="2"/>
          </rPr>
          <t xml:space="preserve">
estimated from our egg data set</t>
        </r>
      </text>
    </comment>
    <comment ref="R989" authorId="7" shapeId="0" xr:uid="{00000000-0006-0000-0000-0000CA040000}">
      <text>
        <r>
          <rPr>
            <b/>
            <sz val="9"/>
            <color indexed="81"/>
            <rFont val="Tahoma"/>
            <family val="2"/>
          </rPr>
          <t>JEnnen:</t>
        </r>
        <r>
          <rPr>
            <sz val="9"/>
            <color indexed="81"/>
            <rFont val="Tahoma"/>
            <family val="2"/>
          </rPr>
          <t xml:space="preserve">
154.96-387.4 reported</t>
        </r>
      </text>
    </comment>
    <comment ref="T989" authorId="7" shapeId="0" xr:uid="{00000000-0006-0000-0000-0000CB040000}">
      <text>
        <r>
          <rPr>
            <b/>
            <sz val="9"/>
            <color indexed="81"/>
            <rFont val="Tahoma"/>
            <family val="2"/>
          </rPr>
          <t>JEnnen:</t>
        </r>
        <r>
          <rPr>
            <sz val="9"/>
            <color indexed="81"/>
            <rFont val="Tahoma"/>
            <family val="2"/>
          </rPr>
          <t xml:space="preserve">
2-3 reported</t>
        </r>
      </text>
    </comment>
    <comment ref="J990" authorId="576" shapeId="0" xr:uid="{00000000-0006-0000-0000-0000CC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90" authorId="10" shapeId="0" xr:uid="{00000000-0006-0000-0000-0000CD040000}">
      <text>
        <r>
          <rPr>
            <b/>
            <sz val="9"/>
            <color indexed="81"/>
            <rFont val="Arial"/>
            <family val="2"/>
          </rPr>
          <t>John Iverson:</t>
        </r>
        <r>
          <rPr>
            <sz val="9"/>
            <color indexed="81"/>
            <rFont val="Arial"/>
            <family val="2"/>
          </rPr>
          <t xml:space="preserve">
estimated from our egg data set</t>
        </r>
      </text>
    </comment>
    <comment ref="I991" authorId="577" shapeId="0" xr:uid="{00000000-0006-0000-0000-0000C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mean calculated from Table 2 in publication</t>
        </r>
      </text>
    </comment>
    <comment ref="J991" authorId="578" shapeId="0" xr:uid="{00000000-0006-0000-0000-0000C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Trachemys scripta from AR using Iverson, unpublished</t>
        </r>
      </text>
    </comment>
    <comment ref="P991" authorId="579" shapeId="0" xr:uid="{00000000-0006-0000-0000-0000D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(Sept 2020)</t>
        </r>
      </text>
    </comment>
    <comment ref="K992" authorId="7" shapeId="0" xr:uid="{00000000-0006-0000-0000-0000D1040000}">
      <text>
        <r>
          <rPr>
            <b/>
            <sz val="9"/>
            <color indexed="81"/>
            <rFont val="Tahoma"/>
            <family val="2"/>
          </rPr>
          <t>JEnnen:</t>
        </r>
        <r>
          <rPr>
            <sz val="9"/>
            <color indexed="81"/>
            <rFont val="Tahoma"/>
            <family val="2"/>
          </rPr>
          <t xml:space="preserve">
5-7 reported</t>
        </r>
      </text>
    </comment>
    <comment ref="L992" authorId="7" shapeId="0" xr:uid="{00000000-0006-0000-0000-0000D2040000}">
      <text>
        <r>
          <rPr>
            <b/>
            <sz val="9"/>
            <color indexed="81"/>
            <rFont val="Tahoma"/>
            <family val="2"/>
          </rPr>
          <t>JEnnen:</t>
        </r>
        <r>
          <rPr>
            <sz val="9"/>
            <color indexed="81"/>
            <rFont val="Tahoma"/>
            <family val="2"/>
          </rPr>
          <t xml:space="preserve">
4-30</t>
        </r>
      </text>
    </comment>
    <comment ref="P992" authorId="11" shapeId="0" xr:uid="{00000000-0006-0000-0000-0000D3040000}">
      <text>
        <r>
          <rPr>
            <b/>
            <sz val="9"/>
            <color indexed="81"/>
            <rFont val="Tahoma"/>
            <family val="2"/>
          </rPr>
          <t>TNACI:</t>
        </r>
        <r>
          <rPr>
            <sz val="9"/>
            <color indexed="81"/>
            <rFont val="Tahoma"/>
            <family val="2"/>
          </rPr>
          <t xml:space="preserve">
estimated from EM = 0.763EL + 0.921EW - 37.744 Iverson unpublished data</t>
        </r>
      </text>
    </comment>
    <comment ref="G993" authorId="580" shapeId="0" xr:uid="{00000000-0006-0000-0000-0000D4040000}">
      <text>
        <r>
          <rPr>
            <sz val="10"/>
            <color rgb="FF000000"/>
            <rFont val="Arial"/>
            <family val="2"/>
          </rPr>
          <t xml:space="preserve">
Comment:
    Farm in Tabasco</t>
        </r>
      </text>
    </comment>
    <comment ref="K993" authorId="7" shapeId="0" xr:uid="{00000000-0006-0000-0000-0000D5040000}">
      <text>
        <r>
          <rPr>
            <b/>
            <sz val="9"/>
            <color indexed="81"/>
            <rFont val="Tahoma"/>
            <family val="2"/>
          </rPr>
          <t>JEnnen:
4-7 reported</t>
        </r>
        <r>
          <rPr>
            <sz val="9"/>
            <color indexed="81"/>
            <rFont val="Tahoma"/>
            <family val="2"/>
          </rPr>
          <t xml:space="preserve">
</t>
        </r>
      </text>
    </comment>
    <comment ref="L993" authorId="7" shapeId="0" xr:uid="{00000000-0006-0000-0000-0000D6040000}">
      <text>
        <r>
          <rPr>
            <b/>
            <sz val="9"/>
            <color indexed="81"/>
            <rFont val="Tahoma"/>
            <family val="2"/>
          </rPr>
          <t>JEnnen:</t>
        </r>
        <r>
          <rPr>
            <sz val="9"/>
            <color indexed="81"/>
            <rFont val="Tahoma"/>
            <family val="2"/>
          </rPr>
          <t xml:space="preserve">
4-17
</t>
        </r>
      </text>
    </comment>
    <comment ref="N994" authorId="11" shapeId="0" xr:uid="{00000000-0006-0000-0000-0000D7040000}">
      <text>
        <r>
          <rPr>
            <b/>
            <sz val="9"/>
            <color indexed="81"/>
            <rFont val="Tahoma"/>
            <family val="2"/>
          </rPr>
          <t>TNACI:</t>
        </r>
        <r>
          <rPr>
            <sz val="9"/>
            <color indexed="81"/>
            <rFont val="Tahoma"/>
            <family val="2"/>
          </rPr>
          <t xml:space="preserve">
estimated from EM = 0.763EL + 0.921EW - 37.744 Iverson unpublished data</t>
        </r>
      </text>
    </comment>
    <comment ref="J996" authorId="10" shapeId="0" xr:uid="{00000000-0006-0000-0000-0000D8040000}">
      <text>
        <r>
          <rPr>
            <b/>
            <sz val="9"/>
            <color indexed="81"/>
            <rFont val="Arial"/>
            <family val="2"/>
          </rPr>
          <t>John Iverson:</t>
        </r>
        <r>
          <rPr>
            <sz val="9"/>
            <color indexed="81"/>
            <rFont val="Arial"/>
            <family val="2"/>
          </rPr>
          <t xml:space="preserve">
Estimated from BM-CL regression for Arkansas T. scripta
</t>
        </r>
      </text>
    </comment>
    <comment ref="I1002" authorId="581" shapeId="0" xr:uid="{00000000-0006-0000-0000-0000D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geuns;</t>
        </r>
      </text>
    </comment>
    <comment ref="L1003" authorId="7" shapeId="0" xr:uid="{00000000-0006-0000-0000-0000DA040000}">
      <text>
        <r>
          <rPr>
            <b/>
            <sz val="9"/>
            <color indexed="81"/>
            <rFont val="Tahoma"/>
            <family val="2"/>
          </rPr>
          <t>JEnnen:</t>
        </r>
        <r>
          <rPr>
            <sz val="9"/>
            <color indexed="81"/>
            <rFont val="Tahoma"/>
            <family val="2"/>
          </rPr>
          <t xml:space="preserve">
5-38</t>
        </r>
      </text>
    </comment>
    <comment ref="L1004" authorId="7" shapeId="0" xr:uid="{00000000-0006-0000-0000-0000DB040000}">
      <text>
        <r>
          <rPr>
            <b/>
            <sz val="9"/>
            <color indexed="81"/>
            <rFont val="Tahoma"/>
            <family val="2"/>
          </rPr>
          <t>JEnnen:</t>
        </r>
        <r>
          <rPr>
            <sz val="9"/>
            <color indexed="81"/>
            <rFont val="Tahoma"/>
            <family val="2"/>
          </rPr>
          <t xml:space="preserve">
19-37</t>
        </r>
      </text>
    </comment>
    <comment ref="J1006" authorId="582" shapeId="0" xr:uid="{00000000-0006-0000-0000-0000DC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17900, BM is SBM + Clutch Mass = 19594</t>
        </r>
      </text>
    </comment>
    <comment ref="N1008" authorId="10" shapeId="0" xr:uid="{00000000-0006-0000-0000-0000DD040000}">
      <text>
        <r>
          <rPr>
            <b/>
            <sz val="9"/>
            <color indexed="81"/>
            <rFont val="Arial"/>
            <family val="2"/>
          </rPr>
          <t>John Iverson:</t>
        </r>
        <r>
          <rPr>
            <sz val="9"/>
            <color indexed="81"/>
            <rFont val="Arial"/>
            <family val="2"/>
          </rPr>
          <t xml:space="preserve">
estimated from our egg data set for B. affinis</t>
        </r>
      </text>
    </comment>
    <comment ref="P1008" authorId="10" shapeId="0" xr:uid="{00000000-0006-0000-0000-0000DE040000}">
      <text>
        <r>
          <rPr>
            <b/>
            <sz val="9"/>
            <color indexed="81"/>
            <rFont val="Arial"/>
            <family val="2"/>
          </rPr>
          <t>John Iverson:</t>
        </r>
        <r>
          <rPr>
            <sz val="9"/>
            <color indexed="81"/>
            <rFont val="Arial"/>
            <family val="2"/>
          </rPr>
          <t xml:space="preserve">
estimated from our egg dats set for B. affinis</t>
        </r>
      </text>
    </comment>
    <comment ref="J1009" authorId="583" shapeId="0" xr:uid="{00000000-0006-0000-0000-0000D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using B. affinis using Moll 1980 (Sept 2020)</t>
        </r>
      </text>
    </comment>
    <comment ref="L1009" authorId="584" shapeId="0" xr:uid="{00000000-0006-0000-0000-0000E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I1013" authorId="585" shapeId="0" xr:uid="{00000000-0006-0000-0000-0000E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CCL = 48.1; estimated SCL from interspecies regression in our table</t>
        </r>
      </text>
    </comment>
    <comment ref="J1014" authorId="586" shapeId="0" xr:uid="{00000000-0006-0000-0000-0000E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0.10146*CL^3.0496 in Batagur affinis Moll 1980</t>
        </r>
      </text>
    </comment>
    <comment ref="J1015" authorId="587" shapeId="0" xr:uid="{00000000-0006-0000-0000-0000E3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16800, cell value is SBM + Clutch Mass.</t>
        </r>
      </text>
    </comment>
    <comment ref="J1017" authorId="588" shapeId="0" xr:uid="{00000000-0006-0000-0000-0000E4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7270, cell value is SBM + Clutch Mass.</t>
        </r>
      </text>
    </comment>
    <comment ref="G1018" authorId="589" shapeId="0" xr:uid="{00000000-0006-0000-0000-0000E5040000}">
      <text>
        <r>
          <rPr>
            <sz val="10"/>
            <color rgb="FF000000"/>
            <rFont val="Arial"/>
            <family val="2"/>
          </rPr>
          <t xml:space="preserve">
Comment:
    multiple sites along one drainage.</t>
        </r>
      </text>
    </comment>
    <comment ref="J1018" authorId="590" shapeId="0" xr:uid="{00000000-0006-0000-0000-0000E6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0.10146*CL^3.0496 in Rom Whitaker, pers. communication</t>
        </r>
      </text>
    </comment>
    <comment ref="L1021" authorId="7" shapeId="0" xr:uid="{00000000-0006-0000-0000-0000E7040000}">
      <text>
        <r>
          <rPr>
            <b/>
            <sz val="9"/>
            <color indexed="81"/>
            <rFont val="Tahoma"/>
            <family val="2"/>
          </rPr>
          <t>JEnnen:</t>
        </r>
        <r>
          <rPr>
            <sz val="9"/>
            <color indexed="81"/>
            <rFont val="Tahoma"/>
            <family val="2"/>
          </rPr>
          <t xml:space="preserve">
30-35</t>
        </r>
      </text>
    </comment>
    <comment ref="P1021" authorId="10" shapeId="0" xr:uid="{00000000-0006-0000-0000-0000E8040000}">
      <text>
        <r>
          <rPr>
            <b/>
            <sz val="9"/>
            <color indexed="81"/>
            <rFont val="Arial"/>
            <family val="2"/>
          </rPr>
          <t>John Iverson:</t>
        </r>
        <r>
          <rPr>
            <sz val="9"/>
            <color indexed="81"/>
            <rFont val="Arial"/>
            <family val="2"/>
          </rPr>
          <t xml:space="preserve">
estimated from our egg data set</t>
        </r>
      </text>
    </comment>
    <comment ref="J1025" authorId="591" shapeId="0" xr:uid="{00000000-0006-0000-0000-0000E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21100, cell value is SBM + Clutch Mass.</t>
        </r>
      </text>
    </comment>
    <comment ref="G1026" authorId="592" shapeId="0" xr:uid="{00000000-0006-0000-0000-0000EA040000}">
      <text>
        <r>
          <rPr>
            <sz val="10"/>
            <color rgb="FF000000"/>
            <rFont val="Arial"/>
            <family val="2"/>
          </rPr>
          <t xml:space="preserve">
Comment:
    multiple sites along one drainage.</t>
        </r>
      </text>
    </comment>
    <comment ref="J1026" authorId="593" shapeId="0" xr:uid="{00000000-0006-0000-0000-0000EB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0.10146*CL^3.0496 in Batagur affinis from Moll 1980</t>
        </r>
      </text>
    </comment>
    <comment ref="G1028" authorId="594" shapeId="0" xr:uid="{00000000-0006-0000-0000-0000EC040000}">
      <text>
        <r>
          <rPr>
            <sz val="10"/>
            <color rgb="FF000000"/>
            <rFont val="Arial"/>
            <family val="2"/>
          </rPr>
          <t xml:space="preserve">
Comment:
    estimated ca. 26</t>
        </r>
      </text>
    </comment>
    <comment ref="G1034" authorId="595" shapeId="0" xr:uid="{00000000-0006-0000-0000-0000ED040000}">
      <text>
        <r>
          <rPr>
            <sz val="10"/>
            <color rgb="FF000000"/>
            <rFont val="Arial"/>
            <family val="2"/>
          </rPr>
          <t xml:space="preserve">
Comment:
    estimated ca. 22</t>
        </r>
      </text>
    </comment>
    <comment ref="I1034" authorId="596" shapeId="0" xr:uid="{00000000-0006-0000-0000-0000EE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data for two females CL (51.5 and 45.0) and BM (22900 and 13250). We took the mean value</t>
        </r>
      </text>
    </comment>
    <comment ref="J1034" authorId="597" shapeId="0" xr:uid="{00000000-0006-0000-0000-0000E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data for two females CL (51.5 and 45.0) and BM (22900 and 13250). We took the mean value</t>
        </r>
      </text>
    </comment>
    <comment ref="J1035" authorId="598" shapeId="0" xr:uid="{00000000-0006-0000-0000-0000F0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from genus</t>
        </r>
      </text>
    </comment>
    <comment ref="J1037" authorId="599" shapeId="0" xr:uid="{00000000-0006-0000-0000-0000F1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from genus</t>
        </r>
      </text>
    </comment>
    <comment ref="J1040" authorId="600" shapeId="0" xr:uid="{00000000-0006-0000-0000-0000F2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3.12176*CL^2.0494 Paul Crow pers communication</t>
        </r>
      </text>
    </comment>
    <comment ref="L1041" authorId="7" shapeId="0" xr:uid="{00000000-0006-0000-0000-0000F3040000}">
      <text>
        <r>
          <rPr>
            <b/>
            <sz val="9"/>
            <color indexed="81"/>
            <rFont val="Tahoma"/>
            <family val="2"/>
          </rPr>
          <t>JEnnen:</t>
        </r>
        <r>
          <rPr>
            <sz val="9"/>
            <color indexed="81"/>
            <rFont val="Tahoma"/>
            <family val="2"/>
          </rPr>
          <t xml:space="preserve">
1-2</t>
        </r>
      </text>
    </comment>
    <comment ref="K1042" authorId="7" shapeId="0" xr:uid="{00000000-0006-0000-0000-0000F4040000}">
      <text>
        <r>
          <rPr>
            <b/>
            <sz val="9"/>
            <color indexed="81"/>
            <rFont val="Tahoma"/>
            <family val="2"/>
          </rPr>
          <t>JEnnen:</t>
        </r>
        <r>
          <rPr>
            <sz val="9"/>
            <color indexed="81"/>
            <rFont val="Tahoma"/>
            <family val="2"/>
          </rPr>
          <t xml:space="preserve">
4-5 reported</t>
        </r>
      </text>
    </comment>
    <comment ref="L1042" authorId="7" shapeId="0" xr:uid="{00000000-0006-0000-0000-0000F5040000}">
      <text>
        <r>
          <rPr>
            <b/>
            <sz val="9"/>
            <color indexed="81"/>
            <rFont val="Tahoma"/>
            <family val="2"/>
          </rPr>
          <t>JEnnen:</t>
        </r>
        <r>
          <rPr>
            <sz val="9"/>
            <color indexed="81"/>
            <rFont val="Tahoma"/>
            <family val="2"/>
          </rPr>
          <t xml:space="preserve">
1-4</t>
        </r>
      </text>
    </comment>
    <comment ref="T1042" authorId="7" shapeId="0" xr:uid="{00000000-0006-0000-0000-0000F6040000}">
      <text>
        <r>
          <rPr>
            <b/>
            <sz val="9"/>
            <color indexed="81"/>
            <rFont val="Tahoma"/>
            <family val="2"/>
          </rPr>
          <t>JEnnen:</t>
        </r>
        <r>
          <rPr>
            <sz val="9"/>
            <color indexed="81"/>
            <rFont val="Tahoma"/>
            <family val="2"/>
          </rPr>
          <t xml:space="preserve">
3-4 reported</t>
        </r>
      </text>
    </comment>
    <comment ref="J1044" authorId="601" shapeId="0" xr:uid="{00000000-0006-0000-0000-0000F7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3.12176*CL^2.0494 Paul Crow pers communication</t>
        </r>
      </text>
    </comment>
    <comment ref="P1044" authorId="602" shapeId="0" xr:uid="{00000000-0006-0000-0000-0000F8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(Aug 2020)</t>
        </r>
      </text>
    </comment>
    <comment ref="F1045" authorId="603" shapeId="0" xr:uid="{00000000-0006-0000-0000-0000F9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China</t>
        </r>
      </text>
    </comment>
    <comment ref="J1045" authorId="604" shapeId="0" xr:uid="{00000000-0006-0000-0000-0000FA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3.12176*CL^2.0494 Paul Crow pers communication</t>
        </r>
      </text>
    </comment>
    <comment ref="P1045" authorId="11" shapeId="0" xr:uid="{00000000-0006-0000-0000-0000FB040000}">
      <text>
        <r>
          <rPr>
            <b/>
            <sz val="9"/>
            <color indexed="81"/>
            <rFont val="Tahoma"/>
            <family val="2"/>
          </rPr>
          <t>TNACI:</t>
        </r>
        <r>
          <rPr>
            <sz val="9"/>
            <color indexed="81"/>
            <rFont val="Tahoma"/>
            <family val="2"/>
          </rPr>
          <t xml:space="preserve">
estimated from EM = 0.590EL + 1.550EW - 48.905 Iverson unpublished data</t>
        </r>
      </text>
    </comment>
    <comment ref="P1047" authorId="10" shapeId="0" xr:uid="{00000000-0006-0000-0000-0000FC040000}">
      <text>
        <r>
          <rPr>
            <b/>
            <sz val="9"/>
            <color indexed="81"/>
            <rFont val="Arial"/>
            <family val="2"/>
          </rPr>
          <t>John Iverson:</t>
        </r>
        <r>
          <rPr>
            <sz val="9"/>
            <color indexed="81"/>
            <rFont val="Arial"/>
            <family val="2"/>
          </rPr>
          <t xml:space="preserve">
estimated from our egg data set</t>
        </r>
      </text>
    </comment>
    <comment ref="J1050" authorId="605" shapeId="0" xr:uid="{00000000-0006-0000-0000-0000FD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1000, cell value is SBM + Clutch Mass.</t>
        </r>
      </text>
    </comment>
    <comment ref="K1051" authorId="7" shapeId="0" xr:uid="{00000000-0006-0000-0000-0000FE040000}">
      <text>
        <r>
          <rPr>
            <b/>
            <sz val="9"/>
            <color indexed="81"/>
            <rFont val="Tahoma"/>
            <family val="2"/>
          </rPr>
          <t>JEnnen:</t>
        </r>
        <r>
          <rPr>
            <sz val="9"/>
            <color indexed="81"/>
            <rFont val="Tahoma"/>
            <family val="2"/>
          </rPr>
          <t xml:space="preserve">
5-6 reported</t>
        </r>
      </text>
    </comment>
    <comment ref="J1052" authorId="606" shapeId="0" xr:uid="{00000000-0006-0000-0000-0000FF04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3.12176*CL^2.0494 Paul Crow pers communication</t>
        </r>
      </text>
    </comment>
    <comment ref="P1052" authorId="11" shapeId="0" xr:uid="{00000000-0006-0000-0000-000000050000}">
      <text>
        <r>
          <rPr>
            <b/>
            <sz val="9"/>
            <color indexed="81"/>
            <rFont val="Tahoma"/>
            <family val="2"/>
          </rPr>
          <t>TNACI:</t>
        </r>
        <r>
          <rPr>
            <sz val="9"/>
            <color indexed="81"/>
            <rFont val="Tahoma"/>
            <family val="2"/>
          </rPr>
          <t xml:space="preserve">
estimated from EM = 0.590EL + 1.550EW - 48.905 Iverson unpublished data</t>
        </r>
      </text>
    </comment>
    <comment ref="T1057" authorId="7" shapeId="0" xr:uid="{00000000-0006-0000-0000-000001050000}">
      <text>
        <r>
          <rPr>
            <b/>
            <sz val="9"/>
            <color indexed="81"/>
            <rFont val="Tahoma"/>
            <family val="2"/>
          </rPr>
          <t>JEnnen:</t>
        </r>
        <r>
          <rPr>
            <sz val="9"/>
            <color indexed="81"/>
            <rFont val="Tahoma"/>
            <family val="2"/>
          </rPr>
          <t xml:space="preserve">
1-2 reported</t>
        </r>
      </text>
    </comment>
    <comment ref="I1058" authorId="10" shapeId="0" xr:uid="{00000000-0006-0000-0000-000002050000}">
      <text>
        <r>
          <rPr>
            <b/>
            <sz val="9"/>
            <color indexed="81"/>
            <rFont val="Arial"/>
            <family val="2"/>
          </rPr>
          <t>John Iverson:</t>
        </r>
        <r>
          <rPr>
            <sz val="9"/>
            <color indexed="81"/>
            <rFont val="Arial"/>
            <family val="2"/>
          </rPr>
          <t xml:space="preserve">
CL etimated from PL/CL ratio in McCord and Iverson 1992</t>
        </r>
      </text>
    </comment>
    <comment ref="P1058" authorId="10" shapeId="0" xr:uid="{00000000-0006-0000-0000-000003050000}">
      <text>
        <r>
          <rPr>
            <b/>
            <sz val="9"/>
            <color indexed="81"/>
            <rFont val="Arial"/>
            <family val="2"/>
          </rPr>
          <t>John Iverson:</t>
        </r>
        <r>
          <rPr>
            <sz val="9"/>
            <color indexed="81"/>
            <rFont val="Arial"/>
            <family val="2"/>
          </rPr>
          <t xml:space="preserve">
estimated from our egg data set for C. flavomarginata</t>
        </r>
      </text>
    </comment>
    <comment ref="J1061" authorId="607" shapeId="0" xr:uid="{00000000-0006-0000-0000-00000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Artner 2006</t>
        </r>
      </text>
    </comment>
    <comment ref="L1064" authorId="7" shapeId="0" xr:uid="{00000000-0006-0000-0000-000005050000}">
      <text>
        <r>
          <rPr>
            <b/>
            <sz val="9"/>
            <color indexed="81"/>
            <rFont val="Tahoma"/>
            <family val="2"/>
          </rPr>
          <t>JEnnen:</t>
        </r>
        <r>
          <rPr>
            <sz val="9"/>
            <color indexed="81"/>
            <rFont val="Tahoma"/>
            <family val="2"/>
          </rPr>
          <t xml:space="preserve">
1-2</t>
        </r>
      </text>
    </comment>
    <comment ref="L1065" authorId="7" shapeId="0" xr:uid="{00000000-0006-0000-0000-000006050000}">
      <text>
        <r>
          <rPr>
            <b/>
            <sz val="9"/>
            <color indexed="81"/>
            <rFont val="Tahoma"/>
            <family val="2"/>
          </rPr>
          <t>JEnnen:</t>
        </r>
        <r>
          <rPr>
            <sz val="9"/>
            <color indexed="81"/>
            <rFont val="Tahoma"/>
            <family val="2"/>
          </rPr>
          <t xml:space="preserve">
1-3</t>
        </r>
      </text>
    </comment>
    <comment ref="P1066" authorId="10" shapeId="0" xr:uid="{00000000-0006-0000-0000-000007050000}">
      <text>
        <r>
          <rPr>
            <b/>
            <sz val="9"/>
            <color indexed="81"/>
            <rFont val="Arial"/>
            <family val="2"/>
          </rPr>
          <t>John Iverson:</t>
        </r>
        <r>
          <rPr>
            <sz val="9"/>
            <color indexed="81"/>
            <rFont val="Arial"/>
            <family val="2"/>
          </rPr>
          <t xml:space="preserve">
estimated from our egg data set</t>
        </r>
      </text>
    </comment>
    <comment ref="L1068" authorId="7" shapeId="0" xr:uid="{00000000-0006-0000-0000-000008050000}">
      <text>
        <r>
          <rPr>
            <b/>
            <sz val="9"/>
            <color indexed="81"/>
            <rFont val="Tahoma"/>
            <family val="2"/>
          </rPr>
          <t>JEnnen:</t>
        </r>
        <r>
          <rPr>
            <sz val="9"/>
            <color indexed="81"/>
            <rFont val="Tahoma"/>
            <family val="2"/>
          </rPr>
          <t xml:space="preserve">
1-2</t>
        </r>
      </text>
    </comment>
    <comment ref="P1068" authorId="608" shapeId="0" xr:uid="{00000000-0006-0000-0000-00000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25-30 by taking median</t>
        </r>
      </text>
    </comment>
    <comment ref="L1069" authorId="7" shapeId="0" xr:uid="{00000000-0006-0000-0000-00000A050000}">
      <text>
        <r>
          <rPr>
            <b/>
            <sz val="9"/>
            <color indexed="81"/>
            <rFont val="Tahoma"/>
            <family val="2"/>
          </rPr>
          <t>JEnnen:</t>
        </r>
        <r>
          <rPr>
            <sz val="9"/>
            <color indexed="81"/>
            <rFont val="Tahoma"/>
            <family val="2"/>
          </rPr>
          <t xml:space="preserve">
1-2</t>
        </r>
      </text>
    </comment>
    <comment ref="P1069" authorId="609" shapeId="0" xr:uid="{00000000-0006-0000-0000-00000B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25-30 by taking median</t>
        </r>
      </text>
    </comment>
    <comment ref="T1069" authorId="7" shapeId="0" xr:uid="{00000000-0006-0000-0000-00000C050000}">
      <text>
        <r>
          <rPr>
            <b/>
            <sz val="9"/>
            <color indexed="81"/>
            <rFont val="Tahoma"/>
            <family val="2"/>
          </rPr>
          <t>JEnnen:</t>
        </r>
        <r>
          <rPr>
            <sz val="9"/>
            <color indexed="81"/>
            <rFont val="Tahoma"/>
            <family val="2"/>
          </rPr>
          <t xml:space="preserve">
1-2 reported</t>
        </r>
      </text>
    </comment>
    <comment ref="I1072" authorId="10" shapeId="0" xr:uid="{00000000-0006-0000-0000-00000D050000}">
      <text>
        <r>
          <rPr>
            <b/>
            <sz val="9"/>
            <color indexed="81"/>
            <rFont val="Arial"/>
            <family val="2"/>
          </rPr>
          <t>John Iverson:</t>
        </r>
        <r>
          <rPr>
            <sz val="9"/>
            <color indexed="81"/>
            <rFont val="Arial"/>
            <family val="2"/>
          </rPr>
          <t xml:space="preserve">
PL = 15.0; CL estimated from PL/CL ratio in McCord and Iverson 1992 (1.010)</t>
        </r>
      </text>
    </comment>
    <comment ref="K1072" authorId="7" shapeId="0" xr:uid="{00000000-0006-0000-0000-00000E050000}">
      <text>
        <r>
          <rPr>
            <b/>
            <sz val="9"/>
            <color indexed="81"/>
            <rFont val="Tahoma"/>
            <family val="2"/>
          </rPr>
          <t>JEnnen:</t>
        </r>
        <r>
          <rPr>
            <sz val="9"/>
            <color indexed="81"/>
            <rFont val="Tahoma"/>
            <family val="2"/>
          </rPr>
          <t xml:space="preserve">
4-6 reported</t>
        </r>
      </text>
    </comment>
    <comment ref="L1075" authorId="7" shapeId="0" xr:uid="{00000000-0006-0000-0000-00000F050000}">
      <text>
        <r>
          <rPr>
            <b/>
            <sz val="9"/>
            <color indexed="81"/>
            <rFont val="Tahoma"/>
            <family val="2"/>
          </rPr>
          <t>JEnnen:</t>
        </r>
        <r>
          <rPr>
            <sz val="9"/>
            <color indexed="81"/>
            <rFont val="Tahoma"/>
            <family val="2"/>
          </rPr>
          <t xml:space="preserve">
1-3</t>
        </r>
      </text>
    </comment>
    <comment ref="N1075" authorId="610" shapeId="0" xr:uid="{00000000-0006-0000-0000-00001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41-53</t>
        </r>
      </text>
    </comment>
    <comment ref="O1075" authorId="611" shapeId="0" xr:uid="{00000000-0006-0000-0000-00001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20-27</t>
        </r>
      </text>
    </comment>
    <comment ref="I1077" authorId="612" shapeId="0" xr:uid="{00000000-0006-0000-0000-000012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Cuora amboinensis (Paul Crow pers. com)</t>
        </r>
      </text>
    </comment>
    <comment ref="T1077" authorId="7" shapeId="0" xr:uid="{00000000-0006-0000-0000-000013050000}">
      <text>
        <r>
          <rPr>
            <b/>
            <sz val="9"/>
            <color indexed="81"/>
            <rFont val="Tahoma"/>
            <family val="2"/>
          </rPr>
          <t>JEnnen:</t>
        </r>
        <r>
          <rPr>
            <sz val="9"/>
            <color indexed="81"/>
            <rFont val="Tahoma"/>
            <family val="2"/>
          </rPr>
          <t xml:space="preserve">
1-2 reported</t>
        </r>
      </text>
    </comment>
    <comment ref="T1083" authorId="7" shapeId="0" xr:uid="{00000000-0006-0000-0000-000014050000}">
      <text>
        <r>
          <rPr>
            <b/>
            <sz val="9"/>
            <color indexed="81"/>
            <rFont val="Tahoma"/>
            <family val="2"/>
          </rPr>
          <t>JEnnen:</t>
        </r>
        <r>
          <rPr>
            <sz val="9"/>
            <color indexed="81"/>
            <rFont val="Tahoma"/>
            <family val="2"/>
          </rPr>
          <t xml:space="preserve">
1-2 reported</t>
        </r>
      </text>
    </comment>
    <comment ref="J1084" authorId="613" shapeId="0" xr:uid="{00000000-0006-0000-0000-00001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Cuora amboinensis (Paul Crow pers. com)</t>
        </r>
      </text>
    </comment>
    <comment ref="J1085" authorId="614" shapeId="0" xr:uid="{00000000-0006-0000-0000-00001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Cuora amboinensis (Paul Crow pers. com)</t>
        </r>
      </text>
    </comment>
    <comment ref="L1085" authorId="7" shapeId="0" xr:uid="{00000000-0006-0000-0000-000017050000}">
      <text>
        <r>
          <rPr>
            <b/>
            <sz val="9"/>
            <color indexed="81"/>
            <rFont val="Tahoma"/>
            <family val="2"/>
          </rPr>
          <t>JEnnen:</t>
        </r>
        <r>
          <rPr>
            <sz val="9"/>
            <color indexed="81"/>
            <rFont val="Tahoma"/>
            <family val="2"/>
          </rPr>
          <t xml:space="preserve">
1-3</t>
        </r>
      </text>
    </comment>
    <comment ref="P1085" authorId="10" shapeId="0" xr:uid="{00000000-0006-0000-0000-000018050000}">
      <text>
        <r>
          <rPr>
            <b/>
            <sz val="9"/>
            <color indexed="81"/>
            <rFont val="Arial"/>
            <family val="2"/>
          </rPr>
          <t>John Iverson:</t>
        </r>
        <r>
          <rPr>
            <sz val="9"/>
            <color indexed="81"/>
            <rFont val="Arial"/>
            <family val="2"/>
          </rPr>
          <t xml:space="preserve">
estimated from our egg data set</t>
        </r>
      </text>
    </comment>
    <comment ref="I1086" authorId="615" shapeId="0" xr:uid="{00000000-0006-0000-0000-00001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Cuora amboinensis (Paul Crow pers. com)</t>
        </r>
      </text>
    </comment>
    <comment ref="J1086" authorId="616" shapeId="0" xr:uid="{00000000-0006-0000-0000-00001A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500</t>
        </r>
      </text>
    </comment>
    <comment ref="L1086" authorId="7" shapeId="0" xr:uid="{00000000-0006-0000-0000-00001B050000}">
      <text>
        <r>
          <rPr>
            <b/>
            <sz val="9"/>
            <color indexed="81"/>
            <rFont val="Tahoma"/>
            <family val="2"/>
          </rPr>
          <t>JEnnen:</t>
        </r>
        <r>
          <rPr>
            <sz val="9"/>
            <color indexed="81"/>
            <rFont val="Tahoma"/>
            <family val="2"/>
          </rPr>
          <t xml:space="preserve">
2-4</t>
        </r>
      </text>
    </comment>
    <comment ref="N1086" authorId="617" shapeId="0" xr:uid="{00000000-0006-0000-0000-00001C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42-47 by taking median</t>
        </r>
      </text>
    </comment>
    <comment ref="P1086" authorId="618" shapeId="0" xr:uid="{00000000-0006-0000-0000-00001D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8.5-20 by taking median</t>
        </r>
      </text>
    </comment>
    <comment ref="P1087" authorId="619" shapeId="0" xr:uid="{00000000-0006-0000-0000-00001E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t>
        </r>
      </text>
    </comment>
    <comment ref="K1090" authorId="7" shapeId="0" xr:uid="{00000000-0006-0000-0000-00001F050000}">
      <text>
        <r>
          <rPr>
            <b/>
            <sz val="9"/>
            <color indexed="81"/>
            <rFont val="Tahoma"/>
            <family val="2"/>
          </rPr>
          <t>JEnnen:</t>
        </r>
        <r>
          <rPr>
            <sz val="9"/>
            <color indexed="81"/>
            <rFont val="Tahoma"/>
            <family val="2"/>
          </rPr>
          <t xml:space="preserve">
4-6 reported</t>
        </r>
      </text>
    </comment>
    <comment ref="G1092" authorId="620" shapeId="0" xr:uid="{00000000-0006-0000-0000-000020050000}">
      <text>
        <r>
          <rPr>
            <sz val="10"/>
            <color rgb="FF000000"/>
            <rFont val="Arial"/>
            <family val="2"/>
          </rPr>
          <t xml:space="preserve">
Comment:
    estimated ca. 25</t>
        </r>
      </text>
    </comment>
    <comment ref="L1093" authorId="7" shapeId="0" xr:uid="{00000000-0006-0000-0000-000021050000}">
      <text>
        <r>
          <rPr>
            <b/>
            <sz val="9"/>
            <color indexed="81"/>
            <rFont val="Tahoma"/>
            <family val="2"/>
          </rPr>
          <t>JEnnen:</t>
        </r>
        <r>
          <rPr>
            <sz val="9"/>
            <color indexed="81"/>
            <rFont val="Tahoma"/>
            <family val="2"/>
          </rPr>
          <t xml:space="preserve">
1-4
</t>
        </r>
      </text>
    </comment>
    <comment ref="K1094" authorId="7" shapeId="0" xr:uid="{00000000-0006-0000-0000-000022050000}">
      <text>
        <r>
          <rPr>
            <b/>
            <sz val="9"/>
            <color indexed="81"/>
            <rFont val="Tahoma"/>
            <family val="2"/>
          </rPr>
          <t>JEnnen:</t>
        </r>
        <r>
          <rPr>
            <sz val="9"/>
            <color indexed="81"/>
            <rFont val="Tahoma"/>
            <family val="2"/>
          </rPr>
          <t xml:space="preserve">
10-15 reported</t>
        </r>
      </text>
    </comment>
    <comment ref="I1095" authorId="621" shapeId="0" xr:uid="{00000000-0006-0000-0000-000023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17.5; CL estimated from PL/CL ratio in McCord and Iverson 1992."</t>
        </r>
      </text>
    </comment>
    <comment ref="I1096" authorId="622" shapeId="0" xr:uid="{00000000-0006-0000-0000-00002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17.5; CL estimated from PL/CL ratio in McCord and Iverson 1992."</t>
        </r>
      </text>
    </comment>
    <comment ref="L1097" authorId="7" shapeId="0" xr:uid="{00000000-0006-0000-0000-000025050000}">
      <text>
        <r>
          <rPr>
            <b/>
            <sz val="9"/>
            <color indexed="81"/>
            <rFont val="Tahoma"/>
            <family val="2"/>
          </rPr>
          <t>JEnnen:</t>
        </r>
        <r>
          <rPr>
            <sz val="9"/>
            <color indexed="81"/>
            <rFont val="Tahoma"/>
            <family val="2"/>
          </rPr>
          <t xml:space="preserve">
1-2</t>
        </r>
      </text>
    </comment>
    <comment ref="P1098" authorId="623" shapeId="0" xr:uid="{00000000-0006-0000-0000-00002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T1101" authorId="7" shapeId="0" xr:uid="{00000000-0006-0000-0000-000027050000}">
      <text>
        <r>
          <rPr>
            <b/>
            <sz val="9"/>
            <color indexed="81"/>
            <rFont val="Tahoma"/>
            <family val="2"/>
          </rPr>
          <t>JEnnen:</t>
        </r>
        <r>
          <rPr>
            <sz val="9"/>
            <color indexed="81"/>
            <rFont val="Tahoma"/>
            <family val="2"/>
          </rPr>
          <t xml:space="preserve">
1-2 reported</t>
        </r>
      </text>
    </comment>
    <comment ref="P1105" authorId="10" shapeId="0" xr:uid="{00000000-0006-0000-0000-000028050000}">
      <text>
        <r>
          <rPr>
            <b/>
            <sz val="9"/>
            <color indexed="81"/>
            <rFont val="Arial"/>
            <family val="2"/>
          </rPr>
          <t>John Iverson:</t>
        </r>
        <r>
          <rPr>
            <sz val="9"/>
            <color indexed="81"/>
            <rFont val="Arial"/>
            <family val="2"/>
          </rPr>
          <t xml:space="preserve">
estimated from our egg data set for M. mutica</t>
        </r>
      </text>
    </comment>
    <comment ref="L1106" authorId="7" shapeId="0" xr:uid="{00000000-0006-0000-0000-000029050000}">
      <text>
        <r>
          <rPr>
            <b/>
            <sz val="9"/>
            <color indexed="81"/>
            <rFont val="Tahoma"/>
            <family val="2"/>
          </rPr>
          <t>JEnnen:</t>
        </r>
        <r>
          <rPr>
            <sz val="9"/>
            <color indexed="81"/>
            <rFont val="Tahoma"/>
            <family val="2"/>
          </rPr>
          <t xml:space="preserve">
1-3
</t>
        </r>
      </text>
    </comment>
    <comment ref="P1106" authorId="10" shapeId="0" xr:uid="{00000000-0006-0000-0000-00002A050000}">
      <text>
        <r>
          <rPr>
            <b/>
            <sz val="9"/>
            <color indexed="81"/>
            <rFont val="Arial"/>
            <family val="2"/>
          </rPr>
          <t>John Iverson:</t>
        </r>
        <r>
          <rPr>
            <sz val="9"/>
            <color indexed="81"/>
            <rFont val="Arial"/>
            <family val="2"/>
          </rPr>
          <t xml:space="preserve">
estimated from our egg data set for M. mutica</t>
        </r>
      </text>
    </comment>
    <comment ref="L1107" authorId="7" shapeId="0" xr:uid="{00000000-0006-0000-0000-00002B050000}">
      <text>
        <r>
          <rPr>
            <b/>
            <sz val="9"/>
            <color indexed="81"/>
            <rFont val="Tahoma"/>
            <family val="2"/>
          </rPr>
          <t>JEnnen:</t>
        </r>
        <r>
          <rPr>
            <sz val="9"/>
            <color indexed="81"/>
            <rFont val="Tahoma"/>
            <family val="2"/>
          </rPr>
          <t xml:space="preserve">
1-3
</t>
        </r>
      </text>
    </comment>
    <comment ref="J1108" authorId="624" shapeId="0" xr:uid="{00000000-0006-0000-0000-00002C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regressions from Cuora amboinensis using Paul Crow pers. communication</t>
        </r>
      </text>
    </comment>
    <comment ref="L1108" authorId="1" shapeId="0" xr:uid="{00000000-0006-0000-0000-00002D050000}">
      <text>
        <r>
          <rPr>
            <sz val="10"/>
            <color rgb="FF000000"/>
            <rFont val="Arial"/>
            <family val="2"/>
          </rPr>
          <t>also cites Hertwig (2005); Schroller (2005)
	-Joshua Ennen</t>
        </r>
      </text>
    </comment>
    <comment ref="P1108" authorId="625" shapeId="0" xr:uid="{00000000-0006-0000-0000-00002E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M. mutica (Aug 2020)</t>
        </r>
      </text>
    </comment>
    <comment ref="L1109" authorId="7" shapeId="0" xr:uid="{00000000-0006-0000-0000-00002F050000}">
      <text>
        <r>
          <rPr>
            <b/>
            <sz val="9"/>
            <color indexed="81"/>
            <rFont val="Tahoma"/>
            <family val="2"/>
          </rPr>
          <t>JEnnen:</t>
        </r>
        <r>
          <rPr>
            <sz val="9"/>
            <color indexed="81"/>
            <rFont val="Tahoma"/>
            <family val="2"/>
          </rPr>
          <t xml:space="preserve">
2-3</t>
        </r>
      </text>
    </comment>
    <comment ref="P1109" authorId="626" shapeId="0" xr:uid="{00000000-0006-0000-0000-00003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M. mutica (Aug 2020)</t>
        </r>
      </text>
    </comment>
    <comment ref="N1112" authorId="627" shapeId="0" xr:uid="{00000000-0006-0000-0000-00003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39-46.3</t>
        </r>
      </text>
    </comment>
    <comment ref="O1112" authorId="628" shapeId="0" xr:uid="{00000000-0006-0000-0000-000032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reported24.4-26.9</t>
        </r>
      </text>
    </comment>
    <comment ref="P1112" authorId="629" shapeId="0" xr:uid="{00000000-0006-0000-0000-000033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15.6-17.2</t>
        </r>
      </text>
    </comment>
    <comment ref="P1113" authorId="10" shapeId="0" xr:uid="{00000000-0006-0000-0000-000034050000}">
      <text>
        <r>
          <rPr>
            <b/>
            <sz val="9"/>
            <color indexed="81"/>
            <rFont val="Arial"/>
            <family val="2"/>
          </rPr>
          <t>John Iverson:</t>
        </r>
        <r>
          <rPr>
            <sz val="9"/>
            <color indexed="81"/>
            <rFont val="Arial"/>
            <family val="2"/>
          </rPr>
          <t xml:space="preserve">
estimated from our egg data set</t>
        </r>
      </text>
    </comment>
    <comment ref="G1114" authorId="630" shapeId="0" xr:uid="{00000000-0006-0000-0000-000035050000}">
      <text>
        <r>
          <rPr>
            <sz val="10"/>
            <color rgb="FF000000"/>
            <rFont val="Arial"/>
            <family val="2"/>
          </rPr>
          <t xml:space="preserve">
Comment:
    estimated ca. 22</t>
        </r>
      </text>
    </comment>
    <comment ref="P1116" authorId="631" shapeId="0" xr:uid="{00000000-0006-0000-0000-00003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0.115EL + 0.800EW - 10.217 Iverson unpublished "Mauremys mouhotii"</t>
        </r>
      </text>
    </comment>
    <comment ref="I1118" authorId="632" shapeId="0" xr:uid="{00000000-0006-0000-0000-000037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Females only</t>
        </r>
      </text>
    </comment>
    <comment ref="I1119" authorId="10" shapeId="0" xr:uid="{00000000-0006-0000-0000-000038050000}">
      <text>
        <r>
          <rPr>
            <b/>
            <sz val="9"/>
            <color indexed="81"/>
            <rFont val="Arial"/>
            <family val="2"/>
          </rPr>
          <t>John Iverson:</t>
        </r>
        <r>
          <rPr>
            <sz val="9"/>
            <color indexed="81"/>
            <rFont val="Arial"/>
            <family val="2"/>
          </rPr>
          <t xml:space="preserve">
estimated from our CL-BM data for this species</t>
        </r>
      </text>
    </comment>
    <comment ref="L1121" authorId="7" shapeId="0" xr:uid="{00000000-0006-0000-0000-000039050000}">
      <text>
        <r>
          <rPr>
            <b/>
            <sz val="9"/>
            <color indexed="81"/>
            <rFont val="Tahoma"/>
            <family val="2"/>
          </rPr>
          <t xml:space="preserve">JEnnen:1-3
</t>
        </r>
      </text>
    </comment>
    <comment ref="N1121" authorId="633" shapeId="0" xr:uid="{00000000-0006-0000-0000-00003A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51-56</t>
        </r>
      </text>
    </comment>
    <comment ref="O1121" authorId="634" shapeId="0" xr:uid="{00000000-0006-0000-0000-00003B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25-27</t>
        </r>
      </text>
    </comment>
    <comment ref="P1121" authorId="635" shapeId="0" xr:uid="{00000000-0006-0000-0000-00003C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0.115EL + 0.800EW - 10.217 Iverson unpublished "Mauremys mouhotii"</t>
        </r>
      </text>
    </comment>
    <comment ref="J1125" authorId="636" shapeId="0" xr:uid="{00000000-0006-0000-0000-00003D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0.0000008819*CL^4.0004 via Arnter 2006</t>
        </r>
      </text>
    </comment>
    <comment ref="P1126" authorId="10" shapeId="0" xr:uid="{00000000-0006-0000-0000-00003E050000}">
      <text>
        <r>
          <rPr>
            <b/>
            <sz val="9"/>
            <color indexed="81"/>
            <rFont val="Arial"/>
            <family val="2"/>
          </rPr>
          <t>John Iverson:</t>
        </r>
        <r>
          <rPr>
            <sz val="9"/>
            <color indexed="81"/>
            <rFont val="Arial"/>
            <family val="2"/>
          </rPr>
          <t xml:space="preserve">
estimated from our egg data set for M. mutica</t>
        </r>
      </text>
    </comment>
    <comment ref="J1127" authorId="637" shapeId="0" xr:uid="{00000000-0006-0000-0000-00003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0.0000008819*CL^4.0004 via Arnter 2006</t>
        </r>
      </text>
    </comment>
    <comment ref="I1128" authorId="638" shapeId="0" xr:uid="{00000000-0006-0000-0000-00004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12-17.2 by taking the median</t>
        </r>
      </text>
    </comment>
    <comment ref="J1128" authorId="639" shapeId="0" xr:uid="{00000000-0006-0000-0000-00004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up to 670</t>
        </r>
      </text>
    </comment>
    <comment ref="L1128" authorId="7" shapeId="0" xr:uid="{00000000-0006-0000-0000-000042050000}">
      <text>
        <r>
          <rPr>
            <b/>
            <sz val="9"/>
            <color indexed="81"/>
            <rFont val="Tahoma"/>
            <family val="2"/>
          </rPr>
          <t>JEnnen:</t>
        </r>
        <r>
          <rPr>
            <sz val="9"/>
            <color indexed="81"/>
            <rFont val="Tahoma"/>
            <family val="2"/>
          </rPr>
          <t xml:space="preserve">
2-6</t>
        </r>
      </text>
    </comment>
    <comment ref="L1129" authorId="7" shapeId="0" xr:uid="{00000000-0006-0000-0000-000043050000}">
      <text>
        <r>
          <rPr>
            <b/>
            <sz val="9"/>
            <color indexed="81"/>
            <rFont val="Tahoma"/>
            <family val="2"/>
          </rPr>
          <t>JEnnen:</t>
        </r>
        <r>
          <rPr>
            <sz val="9"/>
            <color indexed="81"/>
            <rFont val="Tahoma"/>
            <family val="2"/>
          </rPr>
          <t xml:space="preserve">
1-3</t>
        </r>
      </text>
    </comment>
    <comment ref="O1130" authorId="640" shapeId="0" xr:uid="{00000000-0006-0000-0000-00004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from our egg database using Cuora galbinifrons</t>
        </r>
      </text>
    </comment>
    <comment ref="L1132" authorId="641" shapeId="0" xr:uid="{00000000-0006-0000-0000-00004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sometimes 2</t>
        </r>
      </text>
    </comment>
    <comment ref="T1132" authorId="7" shapeId="0" xr:uid="{00000000-0006-0000-0000-000046050000}">
      <text>
        <r>
          <rPr>
            <b/>
            <sz val="9"/>
            <color indexed="81"/>
            <rFont val="Tahoma"/>
            <family val="2"/>
          </rPr>
          <t>JEnnen:</t>
        </r>
        <r>
          <rPr>
            <sz val="9"/>
            <color indexed="81"/>
            <rFont val="Tahoma"/>
            <family val="2"/>
          </rPr>
          <t xml:space="preserve">
1-2 reported</t>
        </r>
      </text>
    </comment>
    <comment ref="L1135" authorId="7" shapeId="0" xr:uid="{00000000-0006-0000-0000-000047050000}">
      <text>
        <r>
          <rPr>
            <b/>
            <sz val="9"/>
            <color indexed="81"/>
            <rFont val="Tahoma"/>
            <family val="2"/>
          </rPr>
          <t>JEnnen:</t>
        </r>
        <r>
          <rPr>
            <sz val="9"/>
            <color indexed="81"/>
            <rFont val="Tahoma"/>
            <family val="2"/>
          </rPr>
          <t xml:space="preserve">
1-4
</t>
        </r>
      </text>
    </comment>
    <comment ref="N1135" authorId="642" shapeId="0" xr:uid="{00000000-0006-0000-0000-00004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45-61</t>
        </r>
      </text>
    </comment>
    <comment ref="O1135" authorId="643" shapeId="0" xr:uid="{00000000-0006-0000-0000-00004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25-29</t>
        </r>
      </text>
    </comment>
    <comment ref="P1135" authorId="644" shapeId="0" xr:uid="{00000000-0006-0000-0000-00004A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using M. trijuga (Dec 2020)</t>
        </r>
      </text>
    </comment>
    <comment ref="G1136" authorId="645" shapeId="0" xr:uid="{00000000-0006-0000-0000-00004B050000}">
      <text>
        <r>
          <rPr>
            <sz val="10"/>
            <color rgb="FF000000"/>
            <rFont val="Arial"/>
            <family val="2"/>
          </rPr>
          <t xml:space="preserve">
Comment:
    estimated ca. 23</t>
        </r>
      </text>
    </comment>
    <comment ref="J1137" authorId="646" shapeId="0" xr:uid="{00000000-0006-0000-0000-00004C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C. pani from Artner 2006</t>
        </r>
      </text>
    </comment>
    <comment ref="L1137" authorId="10" shapeId="0" xr:uid="{00000000-0006-0000-0000-00004D050000}">
      <text>
        <r>
          <rPr>
            <b/>
            <sz val="9"/>
            <color indexed="81"/>
            <rFont val="Arial"/>
            <family val="2"/>
          </rPr>
          <t>John Iverson:</t>
        </r>
        <r>
          <rPr>
            <sz val="9"/>
            <color indexed="81"/>
            <rFont val="Arial"/>
            <family val="2"/>
          </rPr>
          <t xml:space="preserve">
"2-5"</t>
        </r>
      </text>
    </comment>
    <comment ref="P1137" authorId="10" shapeId="0" xr:uid="{00000000-0006-0000-0000-00004E050000}">
      <text>
        <r>
          <rPr>
            <b/>
            <sz val="9"/>
            <color indexed="81"/>
            <rFont val="Arial"/>
            <family val="2"/>
          </rPr>
          <t>John Iverson:</t>
        </r>
        <r>
          <rPr>
            <sz val="9"/>
            <color indexed="81"/>
            <rFont val="Arial"/>
            <family val="2"/>
          </rPr>
          <t xml:space="preserve">
estimated from our egg data set</t>
        </r>
      </text>
    </comment>
    <comment ref="L1138" authorId="7" shapeId="0" xr:uid="{00000000-0006-0000-0000-00004F050000}">
      <text>
        <r>
          <rPr>
            <b/>
            <sz val="9"/>
            <color indexed="81"/>
            <rFont val="Tahoma"/>
            <family val="2"/>
          </rPr>
          <t>JEnnen:</t>
        </r>
        <r>
          <rPr>
            <sz val="9"/>
            <color indexed="81"/>
            <rFont val="Tahoma"/>
            <family val="2"/>
          </rPr>
          <t xml:space="preserve">
2-6
</t>
        </r>
      </text>
    </comment>
    <comment ref="N1138" authorId="647" shapeId="0" xr:uid="{00000000-0006-0000-0000-00005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 48-50</t>
        </r>
      </text>
    </comment>
    <comment ref="O1138" authorId="648" shapeId="0" xr:uid="{00000000-0006-0000-0000-00005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26-27</t>
        </r>
      </text>
    </comment>
    <comment ref="P1138" authorId="1" shapeId="0" xr:uid="{00000000-0006-0000-0000-000052050000}">
      <text>
        <r>
          <rPr>
            <sz val="10"/>
            <color rgb="FF000000"/>
            <rFont val="Arial"/>
            <family val="2"/>
          </rPr>
          <t>est. from SChilde 2004 and trijuga in Ewert et al.
	-Joshua Ennen</t>
        </r>
      </text>
    </comment>
    <comment ref="G1140" authorId="649" shapeId="0" xr:uid="{00000000-0006-0000-0000-000053050000}">
      <text>
        <r>
          <rPr>
            <sz val="10"/>
            <color rgb="FF000000"/>
            <rFont val="Arial"/>
            <family val="2"/>
          </rPr>
          <t xml:space="preserve">
Comment:
    estimated ca. 12</t>
        </r>
      </text>
    </comment>
    <comment ref="P1142" authorId="650" shapeId="0" xr:uid="{00000000-0006-0000-0000-00005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Cuora flavomarginata (Aug 2020)</t>
        </r>
      </text>
    </comment>
    <comment ref="J1143" authorId="651" shapeId="0" xr:uid="{00000000-0006-0000-0000-00005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C. pani from Artner 2006</t>
        </r>
      </text>
    </comment>
    <comment ref="P1143" authorId="652" shapeId="0" xr:uid="{00000000-0006-0000-0000-00005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Cuora flavomarginata (Aug 2020)</t>
        </r>
      </text>
    </comment>
    <comment ref="L1144" authorId="7" shapeId="0" xr:uid="{00000000-0006-0000-0000-000057050000}">
      <text>
        <r>
          <rPr>
            <b/>
            <sz val="9"/>
            <color indexed="81"/>
            <rFont val="Tahoma"/>
            <family val="2"/>
          </rPr>
          <t>JEnnen:</t>
        </r>
        <r>
          <rPr>
            <sz val="9"/>
            <color indexed="81"/>
            <rFont val="Tahoma"/>
            <family val="2"/>
          </rPr>
          <t xml:space="preserve">
4-5
</t>
        </r>
      </text>
    </comment>
    <comment ref="N1144" authorId="653" shapeId="0" xr:uid="{00000000-0006-0000-0000-00005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40.6-49.6</t>
        </r>
      </text>
    </comment>
    <comment ref="O1144" authorId="654" shapeId="0" xr:uid="{00000000-0006-0000-0000-00005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22.8-23.1</t>
        </r>
      </text>
    </comment>
    <comment ref="P1144" authorId="655" shapeId="0" xr:uid="{00000000-0006-0000-0000-00005A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11-16</t>
        </r>
      </text>
    </comment>
    <comment ref="J1146" authorId="656" shapeId="0" xr:uid="{00000000-0006-0000-0000-00005B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 oldhamii (Oct 2020)</t>
        </r>
      </text>
    </comment>
    <comment ref="P1147" authorId="10" shapeId="0" xr:uid="{00000000-0006-0000-0000-00005C050000}">
      <text>
        <r>
          <rPr>
            <b/>
            <sz val="9"/>
            <color indexed="81"/>
            <rFont val="Arial"/>
            <family val="2"/>
          </rPr>
          <t>John Iverson:</t>
        </r>
        <r>
          <rPr>
            <sz val="9"/>
            <color indexed="81"/>
            <rFont val="Arial"/>
            <family val="2"/>
          </rPr>
          <t xml:space="preserve">
estimated from our egg dtaa set for R. areolata</t>
        </r>
      </text>
    </comment>
    <comment ref="L1148" authorId="7" shapeId="0" xr:uid="{00000000-0006-0000-0000-00005D050000}">
      <text>
        <r>
          <rPr>
            <b/>
            <sz val="9"/>
            <color indexed="81"/>
            <rFont val="Tahoma"/>
            <family val="2"/>
          </rPr>
          <t>JEnnen:</t>
        </r>
        <r>
          <rPr>
            <sz val="9"/>
            <color indexed="81"/>
            <rFont val="Tahoma"/>
            <family val="2"/>
          </rPr>
          <t xml:space="preserve">
1-4</t>
        </r>
      </text>
    </comment>
    <comment ref="P1148" authorId="10" shapeId="0" xr:uid="{00000000-0006-0000-0000-00005E050000}">
      <text>
        <r>
          <rPr>
            <b/>
            <sz val="9"/>
            <color indexed="81"/>
            <rFont val="Arial"/>
            <family val="2"/>
          </rPr>
          <t>John Iverson:</t>
        </r>
        <r>
          <rPr>
            <sz val="9"/>
            <color indexed="81"/>
            <rFont val="Arial"/>
            <family val="2"/>
          </rPr>
          <t xml:space="preserve">
estimated from our egg data set based on C. galbinifrons although egg shape matches no species in data set</t>
        </r>
      </text>
    </comment>
    <comment ref="J1150" authorId="657" shapeId="0" xr:uid="{00000000-0006-0000-0000-00005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 oldhamii (Oct 2020)</t>
        </r>
      </text>
    </comment>
    <comment ref="L1151" authorId="658" shapeId="0" xr:uid="{00000000-0006-0000-0000-00006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up to 4</t>
        </r>
      </text>
    </comment>
    <comment ref="J1152" authorId="659" shapeId="0" xr:uid="{00000000-0006-0000-0000-00006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1250, cell value is SBM + Clutch Mass.</t>
        </r>
      </text>
    </comment>
    <comment ref="J1154" authorId="660" shapeId="0" xr:uid="{00000000-0006-0000-0000-000062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 oldhamii (Oct 2020)</t>
        </r>
      </text>
    </comment>
    <comment ref="D1155" authorId="10" shapeId="0" xr:uid="{00000000-0006-0000-0000-000063050000}">
      <text>
        <r>
          <rPr>
            <b/>
            <sz val="9"/>
            <color indexed="81"/>
            <rFont val="Arial"/>
            <family val="2"/>
          </rPr>
          <t>John Iverson:</t>
        </r>
        <r>
          <rPr>
            <sz val="9"/>
            <color indexed="81"/>
            <rFont val="Arial"/>
            <family val="2"/>
          </rPr>
          <t xml:space="preserve">
called dentata in original paper</t>
        </r>
      </text>
    </comment>
    <comment ref="L1155" authorId="7" shapeId="0" xr:uid="{00000000-0006-0000-0000-000064050000}">
      <text>
        <r>
          <rPr>
            <b/>
            <sz val="9"/>
            <color indexed="81"/>
            <rFont val="Tahoma"/>
            <family val="2"/>
          </rPr>
          <t>JEnnen:</t>
        </r>
        <r>
          <rPr>
            <sz val="9"/>
            <color indexed="81"/>
            <rFont val="Tahoma"/>
            <family val="2"/>
          </rPr>
          <t xml:space="preserve">
2-4</t>
        </r>
      </text>
    </comment>
    <comment ref="N1155" authorId="661" shapeId="0" xr:uid="{00000000-0006-0000-0000-00006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52-57</t>
        </r>
      </text>
    </comment>
    <comment ref="O1155" authorId="662" shapeId="0" xr:uid="{00000000-0006-0000-0000-00006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27-30</t>
        </r>
      </text>
    </comment>
    <comment ref="L1156" authorId="7" shapeId="0" xr:uid="{00000000-0006-0000-0000-000067050000}">
      <text>
        <r>
          <rPr>
            <b/>
            <sz val="9"/>
            <color indexed="81"/>
            <rFont val="Tahoma"/>
            <family val="2"/>
          </rPr>
          <t>JEnnen:</t>
        </r>
        <r>
          <rPr>
            <sz val="9"/>
            <color indexed="81"/>
            <rFont val="Tahoma"/>
            <family val="2"/>
          </rPr>
          <t xml:space="preserve">
2-4</t>
        </r>
      </text>
    </comment>
    <comment ref="P1156" authorId="10" shapeId="0" xr:uid="{00000000-0006-0000-0000-000068050000}">
      <text>
        <r>
          <rPr>
            <b/>
            <sz val="9"/>
            <color indexed="81"/>
            <rFont val="Arial"/>
            <family val="2"/>
          </rPr>
          <t>John Iverson:</t>
        </r>
        <r>
          <rPr>
            <sz val="9"/>
            <color indexed="81"/>
            <rFont val="Arial"/>
            <family val="2"/>
          </rPr>
          <t xml:space="preserve">
estimated from our egg data set for C. trifasciata</t>
        </r>
      </text>
    </comment>
    <comment ref="J1157" authorId="663" shapeId="0" xr:uid="{00000000-0006-0000-0000-00006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 oldhamii (Oct 2020)</t>
        </r>
      </text>
    </comment>
    <comment ref="G1158" authorId="664" shapeId="0" xr:uid="{00000000-0006-0000-0000-00006A050000}">
      <text>
        <r>
          <rPr>
            <sz val="10"/>
            <color rgb="FF000000"/>
            <rFont val="Arial"/>
            <family val="2"/>
          </rPr>
          <t xml:space="preserve">
Comment:
    estimated ca. 15</t>
        </r>
      </text>
    </comment>
    <comment ref="J1158" authorId="665" shapeId="0" xr:uid="{00000000-0006-0000-0000-00006B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 oldhamii (Oct 2020)</t>
        </r>
      </text>
    </comment>
    <comment ref="P1158" authorId="666" shapeId="0" xr:uid="{00000000-0006-0000-0000-00006C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R. areolata (OCt 2020)</t>
        </r>
      </text>
    </comment>
    <comment ref="D1159" authorId="10" shapeId="0" xr:uid="{00000000-0006-0000-0000-00006D050000}">
      <text>
        <r>
          <rPr>
            <b/>
            <sz val="9"/>
            <color indexed="81"/>
            <rFont val="Arial"/>
            <family val="2"/>
          </rPr>
          <t>John Iverson:</t>
        </r>
        <r>
          <rPr>
            <sz val="9"/>
            <color indexed="81"/>
            <rFont val="Arial"/>
            <family val="2"/>
          </rPr>
          <t xml:space="preserve">
listed as tcheponensis</t>
        </r>
      </text>
    </comment>
    <comment ref="L1159" authorId="667" shapeId="0" xr:uid="{00000000-0006-0000-0000-00006E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author reported range 2-4</t>
        </r>
      </text>
    </comment>
    <comment ref="P1159" authorId="10" shapeId="0" xr:uid="{00000000-0006-0000-0000-00006F050000}">
      <text>
        <r>
          <rPr>
            <b/>
            <sz val="9"/>
            <color indexed="81"/>
            <rFont val="Arial"/>
            <family val="2"/>
          </rPr>
          <t>John Iverson:</t>
        </r>
        <r>
          <rPr>
            <sz val="9"/>
            <color indexed="81"/>
            <rFont val="Arial"/>
            <family val="2"/>
          </rPr>
          <t xml:space="preserve">
estimated from our egg dtaa set for R. areolata</t>
        </r>
      </text>
    </comment>
    <comment ref="J1160" authorId="668" shapeId="0" xr:uid="{00000000-0006-0000-0000-00007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 oldhamii (Oct 2020)</t>
        </r>
      </text>
    </comment>
    <comment ref="L1161" authorId="7" shapeId="0" xr:uid="{00000000-0006-0000-0000-000071050000}">
      <text>
        <r>
          <rPr>
            <b/>
            <sz val="9"/>
            <color indexed="81"/>
            <rFont val="Tahoma"/>
            <family val="2"/>
          </rPr>
          <t>JEnnen:</t>
        </r>
        <r>
          <rPr>
            <sz val="9"/>
            <color indexed="81"/>
            <rFont val="Tahoma"/>
            <family val="2"/>
          </rPr>
          <t xml:space="preserve">
1-4</t>
        </r>
      </text>
    </comment>
    <comment ref="P1161" authorId="669" shapeId="0" xr:uid="{00000000-0006-0000-0000-000072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Rhinoclemmys areolata (DEC 2020)</t>
        </r>
      </text>
    </comment>
    <comment ref="J1165" authorId="670" shapeId="0" xr:uid="{00000000-0006-0000-0000-000073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species</t>
        </r>
      </text>
    </comment>
    <comment ref="L1165" authorId="671" shapeId="0" xr:uid="{00000000-0006-0000-0000-00007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G1168" authorId="672" shapeId="0" xr:uid="{00000000-0006-0000-0000-000075050000}">
      <text>
        <r>
          <rPr>
            <sz val="10"/>
            <color rgb="FF000000"/>
            <rFont val="Arial"/>
            <family val="2"/>
          </rPr>
          <t xml:space="preserve">
Comment:
    estimated ca. 24</t>
        </r>
      </text>
    </comment>
    <comment ref="J1169" authorId="673" shapeId="0" xr:uid="{00000000-0006-0000-0000-00007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species</t>
        </r>
      </text>
    </comment>
    <comment ref="J1170" authorId="674" shapeId="0" xr:uid="{00000000-0006-0000-0000-000077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species</t>
        </r>
      </text>
    </comment>
    <comment ref="J1171" authorId="675" shapeId="0" xr:uid="{00000000-0006-0000-0000-00007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genus</t>
        </r>
      </text>
    </comment>
    <comment ref="I1172" authorId="1" shapeId="0" xr:uid="{00000000-0006-0000-0000-000079050000}">
      <text>
        <r>
          <rPr>
            <sz val="10"/>
            <color rgb="FF000000"/>
            <rFont val="Arial"/>
            <family val="2"/>
          </rPr>
          <t>Yasukawa et al. 1992
to 16.4
	-Joshua Ennen</t>
        </r>
      </text>
    </comment>
    <comment ref="J1172" authorId="676" shapeId="0" xr:uid="{00000000-0006-0000-0000-00007A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genus</t>
        </r>
      </text>
    </comment>
    <comment ref="J1176" authorId="10" shapeId="0" xr:uid="{00000000-0006-0000-0000-00007B050000}">
      <text>
        <r>
          <rPr>
            <b/>
            <sz val="9"/>
            <color indexed="81"/>
            <rFont val="Arial"/>
            <family val="2"/>
          </rPr>
          <t>John Iverson:</t>
        </r>
        <r>
          <rPr>
            <sz val="9"/>
            <color indexed="81"/>
            <rFont val="Arial"/>
            <family val="2"/>
          </rPr>
          <t xml:space="preserve">
estimated from BM-CL data in Auer 2019</t>
        </r>
      </text>
    </comment>
    <comment ref="T1176" authorId="7" shapeId="0" xr:uid="{00000000-0006-0000-0000-00007C050000}">
      <text>
        <r>
          <rPr>
            <b/>
            <sz val="9"/>
            <color indexed="81"/>
            <rFont val="Tahoma"/>
            <family val="2"/>
          </rPr>
          <t>JEnnen:</t>
        </r>
        <r>
          <rPr>
            <sz val="9"/>
            <color indexed="81"/>
            <rFont val="Tahoma"/>
            <family val="2"/>
          </rPr>
          <t xml:space="preserve">
1-2 reported</t>
        </r>
      </text>
    </comment>
    <comment ref="P1177" authorId="677" shapeId="0" xr:uid="{00000000-0006-0000-0000-00007D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regressions from our egg database using Mauremys sinensis</t>
        </r>
      </text>
    </comment>
    <comment ref="P1178" authorId="678" shapeId="0" xr:uid="{00000000-0006-0000-0000-00007E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regressions from our egg database using Mauremys sinensis</t>
        </r>
      </text>
    </comment>
    <comment ref="P1179" authorId="10" shapeId="0" xr:uid="{00000000-0006-0000-0000-00007F050000}">
      <text>
        <r>
          <rPr>
            <b/>
            <sz val="9"/>
            <color indexed="81"/>
            <rFont val="Arial"/>
            <family val="2"/>
          </rPr>
          <t>John Iverson:</t>
        </r>
        <r>
          <rPr>
            <sz val="9"/>
            <color indexed="81"/>
            <rFont val="Arial"/>
            <family val="2"/>
          </rPr>
          <t xml:space="preserve">
estimated from our egg data set for Mauremys sinensis</t>
        </r>
      </text>
    </comment>
    <comment ref="P1180" authorId="679" shapeId="0" xr:uid="{00000000-0006-0000-0000-00008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regressions from our egg database using Mauremys sinensis</t>
        </r>
      </text>
    </comment>
    <comment ref="I1181" authorId="680" shapeId="0" xr:uid="{00000000-0006-0000-0000-00008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from Auer 2019 (July 2020)</t>
        </r>
      </text>
    </comment>
    <comment ref="L1181" authorId="7" shapeId="0" xr:uid="{00000000-0006-0000-0000-000082050000}">
      <text>
        <r>
          <rPr>
            <b/>
            <sz val="9"/>
            <color indexed="81"/>
            <rFont val="Tahoma"/>
            <family val="2"/>
          </rPr>
          <t>JEnnen:</t>
        </r>
        <r>
          <rPr>
            <sz val="9"/>
            <color indexed="81"/>
            <rFont val="Tahoma"/>
            <family val="2"/>
          </rPr>
          <t xml:space="preserve">
1-2</t>
        </r>
      </text>
    </comment>
    <comment ref="J1182" authorId="681" shapeId="0" xr:uid="{00000000-0006-0000-0000-000083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Auer 2019</t>
        </r>
      </text>
    </comment>
    <comment ref="L1183" authorId="7" shapeId="0" xr:uid="{00000000-0006-0000-0000-000084050000}">
      <text>
        <r>
          <rPr>
            <b/>
            <sz val="9"/>
            <color indexed="81"/>
            <rFont val="Tahoma"/>
            <family val="2"/>
          </rPr>
          <t>JEnnen:</t>
        </r>
        <r>
          <rPr>
            <sz val="9"/>
            <color indexed="81"/>
            <rFont val="Tahoma"/>
            <family val="2"/>
          </rPr>
          <t xml:space="preserve">
1-2</t>
        </r>
      </text>
    </comment>
    <comment ref="I1184" authorId="1" shapeId="0" xr:uid="{00000000-0006-0000-0000-000085050000}">
      <text>
        <r>
          <rPr>
            <sz val="10"/>
            <color rgb="FF000000"/>
            <rFont val="Arial"/>
            <family val="2"/>
          </rPr>
          <t>calculated from table 3
	-Joshua Ennen</t>
        </r>
      </text>
    </comment>
    <comment ref="J1184" authorId="1" shapeId="0" xr:uid="{00000000-0006-0000-0000-000086050000}">
      <text>
        <r>
          <rPr>
            <sz val="10"/>
            <color rgb="FF000000"/>
            <rFont val="Arial"/>
            <family val="2"/>
          </rPr>
          <t>calculated from table 3
	-Joshua Ennen</t>
        </r>
      </text>
    </comment>
    <comment ref="G1185" authorId="682" shapeId="0" xr:uid="{00000000-0006-0000-0000-000087050000}">
      <text>
        <r>
          <rPr>
            <sz val="10"/>
            <color rgb="FF000000"/>
            <rFont val="Arial"/>
            <family val="2"/>
          </rPr>
          <t xml:space="preserve">
Comment:
    estimated ca 24</t>
        </r>
      </text>
    </comment>
    <comment ref="G1186" authorId="683" shapeId="0" xr:uid="{00000000-0006-0000-0000-000088050000}">
      <text>
        <r>
          <rPr>
            <sz val="10"/>
            <color rgb="FF000000"/>
            <rFont val="Arial"/>
            <family val="2"/>
          </rPr>
          <t xml:space="preserve">
Comment:
    estimated ca 24</t>
        </r>
      </text>
    </comment>
    <comment ref="L1186" authorId="10" shapeId="0" xr:uid="{00000000-0006-0000-0000-000089050000}">
      <text>
        <r>
          <rPr>
            <b/>
            <sz val="9"/>
            <color indexed="81"/>
            <rFont val="Arial"/>
            <family val="2"/>
          </rPr>
          <t>John Iverson:</t>
        </r>
        <r>
          <rPr>
            <sz val="9"/>
            <color indexed="81"/>
            <rFont val="Arial"/>
            <family val="2"/>
          </rPr>
          <t xml:space="preserve">
"12-16"</t>
        </r>
      </text>
    </comment>
    <comment ref="L1187" authorId="10" shapeId="0" xr:uid="{00000000-0006-0000-0000-00008A050000}">
      <text>
        <r>
          <rPr>
            <b/>
            <sz val="9"/>
            <color indexed="81"/>
            <rFont val="Arial"/>
            <family val="2"/>
          </rPr>
          <t>John Iverson:</t>
        </r>
        <r>
          <rPr>
            <sz val="9"/>
            <color indexed="81"/>
            <rFont val="Arial"/>
            <family val="2"/>
          </rPr>
          <t xml:space="preserve">
from Fig. 4</t>
        </r>
      </text>
    </comment>
    <comment ref="G1188" authorId="684" shapeId="0" xr:uid="{00000000-0006-0000-0000-00008B050000}">
      <text>
        <r>
          <rPr>
            <sz val="10"/>
            <color rgb="FF000000"/>
            <rFont val="Arial"/>
            <family val="2"/>
          </rPr>
          <t xml:space="preserve">
Comment:
    estimated ca 24</t>
        </r>
      </text>
    </comment>
    <comment ref="I1190" authorId="685" shapeId="0" xr:uid="{00000000-0006-0000-0000-00008C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45-48 by taking the median</t>
        </r>
      </text>
    </comment>
    <comment ref="J1190" authorId="686" shapeId="0" xr:uid="{00000000-0006-0000-0000-00008D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1100-1200 by taking the median</t>
        </r>
      </text>
    </comment>
    <comment ref="L1190" authorId="7" shapeId="0" xr:uid="{00000000-0006-0000-0000-00008E050000}">
      <text>
        <r>
          <rPr>
            <b/>
            <sz val="9"/>
            <color indexed="81"/>
            <rFont val="Tahoma"/>
            <family val="2"/>
          </rPr>
          <t>JEnnen:</t>
        </r>
        <r>
          <rPr>
            <sz val="9"/>
            <color indexed="81"/>
            <rFont val="Tahoma"/>
            <family val="2"/>
          </rPr>
          <t xml:space="preserve">
7-8</t>
        </r>
      </text>
    </comment>
    <comment ref="J1191" authorId="687" shapeId="0" xr:uid="{00000000-0006-0000-0000-00008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Platt (unpub. data).</t>
        </r>
      </text>
    </comment>
    <comment ref="L1192" authorId="688" shapeId="0" xr:uid="{00000000-0006-0000-0000-000090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3, all the same</t>
        </r>
      </text>
    </comment>
    <comment ref="N1192" authorId="689" shapeId="0" xr:uid="{00000000-0006-0000-0000-00009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provided by the author "62-67"</t>
        </r>
      </text>
    </comment>
    <comment ref="O1192" authorId="690" shapeId="0" xr:uid="{00000000-0006-0000-0000-000092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provided by the author 37-38</t>
        </r>
      </text>
    </comment>
    <comment ref="P1192" authorId="691" shapeId="0" xr:uid="{00000000-0006-0000-0000-000093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B. kachuga (Oct 2020)</t>
        </r>
      </text>
    </comment>
    <comment ref="J1193" authorId="692" shapeId="0" xr:uid="{00000000-0006-0000-0000-00009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database using data from Platt unpub. data</t>
        </r>
      </text>
    </comment>
    <comment ref="I1194" authorId="10" shapeId="0" xr:uid="{00000000-0006-0000-0000-000095050000}">
      <text>
        <r>
          <rPr>
            <b/>
            <sz val="9"/>
            <color indexed="81"/>
            <rFont val="Arial"/>
            <family val="2"/>
          </rPr>
          <t>John Iverson:</t>
        </r>
        <r>
          <rPr>
            <sz val="9"/>
            <color indexed="81"/>
            <rFont val="Arial"/>
            <family val="2"/>
          </rPr>
          <t xml:space="preserve">
PL = 217; CL estimated from Iverson unpublished: PL/CL = 0.944</t>
        </r>
      </text>
    </comment>
    <comment ref="J1194" authorId="693" shapeId="0" xr:uid="{00000000-0006-0000-0000-00009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Platt (unpub. data).</t>
        </r>
      </text>
    </comment>
    <comment ref="L1194" authorId="7" shapeId="0" xr:uid="{00000000-0006-0000-0000-000097050000}">
      <text>
        <r>
          <rPr>
            <b/>
            <sz val="9"/>
            <color indexed="81"/>
            <rFont val="Tahoma"/>
            <family val="2"/>
          </rPr>
          <t>JEnnen:</t>
        </r>
        <r>
          <rPr>
            <sz val="9"/>
            <color indexed="81"/>
            <rFont val="Tahoma"/>
            <family val="2"/>
          </rPr>
          <t xml:space="preserve">
2-3
</t>
        </r>
      </text>
    </comment>
    <comment ref="I1196" authorId="694" shapeId="0" xr:uid="{00000000-0006-0000-0000-00009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Platt (unpub. data).</t>
        </r>
      </text>
    </comment>
    <comment ref="K1197" authorId="7" shapeId="0" xr:uid="{00000000-0006-0000-0000-000099050000}">
      <text>
        <r>
          <rPr>
            <b/>
            <sz val="9"/>
            <color indexed="81"/>
            <rFont val="Tahoma"/>
            <family val="2"/>
          </rPr>
          <t>JEnnen:</t>
        </r>
        <r>
          <rPr>
            <sz val="9"/>
            <color indexed="81"/>
            <rFont val="Tahoma"/>
            <family val="2"/>
          </rPr>
          <t xml:space="preserve">
6-8 reported</t>
        </r>
      </text>
    </comment>
    <comment ref="T1197" authorId="7" shapeId="0" xr:uid="{00000000-0006-0000-0000-00009A050000}">
      <text>
        <r>
          <rPr>
            <b/>
            <sz val="9"/>
            <color indexed="81"/>
            <rFont val="Tahoma"/>
            <family val="2"/>
          </rPr>
          <t>JEnnen:</t>
        </r>
        <r>
          <rPr>
            <sz val="9"/>
            <color indexed="81"/>
            <rFont val="Tahoma"/>
            <family val="2"/>
          </rPr>
          <t xml:space="preserve">
1-2 reported</t>
        </r>
      </text>
    </comment>
    <comment ref="J1198" authorId="695" shapeId="0" xr:uid="{00000000-0006-0000-0000-00009B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Paul Crow (pers. com).</t>
        </r>
      </text>
    </comment>
    <comment ref="N1199" authorId="7" shapeId="0" xr:uid="{00000000-0006-0000-0000-00009C050000}">
      <text>
        <r>
          <rPr>
            <b/>
            <sz val="9"/>
            <color indexed="81"/>
            <rFont val="Tahoma"/>
            <family val="2"/>
          </rPr>
          <t>JEnnen:</t>
        </r>
        <r>
          <rPr>
            <sz val="9"/>
            <color indexed="81"/>
            <rFont val="Tahoma"/>
            <family val="2"/>
          </rPr>
          <t xml:space="preserve">
55-65 reported</t>
        </r>
      </text>
    </comment>
    <comment ref="P1199" authorId="696" shapeId="0" xr:uid="{00000000-0006-0000-0000-00009D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(Aug 2020)</t>
        </r>
      </text>
    </comment>
    <comment ref="R1199" authorId="7" shapeId="0" xr:uid="{00000000-0006-0000-0000-00009E050000}">
      <text>
        <r>
          <rPr>
            <b/>
            <sz val="9"/>
            <color indexed="81"/>
            <rFont val="Tahoma"/>
            <family val="2"/>
          </rPr>
          <t>JEnnen:</t>
        </r>
        <r>
          <rPr>
            <sz val="9"/>
            <color indexed="81"/>
            <rFont val="Tahoma"/>
            <family val="2"/>
          </rPr>
          <t xml:space="preserve">
'264.67-271.29 estimated  reported range</t>
        </r>
      </text>
    </comment>
    <comment ref="S1199" authorId="7" shapeId="0" xr:uid="{00000000-0006-0000-0000-00009F050000}">
      <text>
        <r>
          <rPr>
            <b/>
            <sz val="9"/>
            <color indexed="81"/>
            <rFont val="Tahoma"/>
            <family val="2"/>
          </rPr>
          <t>JEnnen:</t>
        </r>
        <r>
          <rPr>
            <sz val="9"/>
            <color indexed="81"/>
            <rFont val="Tahoma"/>
            <family val="2"/>
          </rPr>
          <t xml:space="preserve">
'5.11-5.65 estimated reported range</t>
        </r>
      </text>
    </comment>
    <comment ref="L1201" authorId="7" shapeId="0" xr:uid="{00000000-0006-0000-0000-0000A0050000}">
      <text>
        <r>
          <rPr>
            <b/>
            <sz val="9"/>
            <color indexed="81"/>
            <rFont val="Tahoma"/>
            <family val="2"/>
          </rPr>
          <t>JEnnen:</t>
        </r>
        <r>
          <rPr>
            <sz val="9"/>
            <color indexed="81"/>
            <rFont val="Tahoma"/>
            <family val="2"/>
          </rPr>
          <t xml:space="preserve">
3-1</t>
        </r>
      </text>
    </comment>
    <comment ref="N1201" authorId="697" shapeId="0" xr:uid="{00000000-0006-0000-0000-0000A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47-67</t>
        </r>
      </text>
    </comment>
    <comment ref="O1201" authorId="698" shapeId="0" xr:uid="{00000000-0006-0000-0000-0000A2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34-38</t>
        </r>
      </text>
    </comment>
    <comment ref="P1201" authorId="699" shapeId="0" xr:uid="{00000000-0006-0000-0000-0000A3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46-52.9</t>
        </r>
      </text>
    </comment>
    <comment ref="J1202" authorId="700" shapeId="0" xr:uid="{00000000-0006-0000-0000-0000A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Paul Crow (pers. com).</t>
        </r>
      </text>
    </comment>
    <comment ref="J1204" authorId="701" shapeId="0" xr:uid="{00000000-0006-0000-0000-0000A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species [or genus]</t>
        </r>
      </text>
    </comment>
    <comment ref="J1207" authorId="702" shapeId="0" xr:uid="{00000000-0006-0000-0000-0000A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950, cell value is SBM + Clutch Mass.</t>
        </r>
      </text>
    </comment>
    <comment ref="P1209" authorId="10" shapeId="0" xr:uid="{00000000-0006-0000-0000-0000A7050000}">
      <text>
        <r>
          <rPr>
            <b/>
            <sz val="9"/>
            <color indexed="81"/>
            <rFont val="Arial"/>
            <family val="2"/>
          </rPr>
          <t>John Iverson:</t>
        </r>
        <r>
          <rPr>
            <sz val="9"/>
            <color indexed="81"/>
            <rFont val="Arial"/>
            <family val="2"/>
          </rPr>
          <t xml:space="preserve">
estimated from our egg data set for B. dhongoka</t>
        </r>
      </text>
    </comment>
    <comment ref="T1209" authorId="7" shapeId="0" xr:uid="{00000000-0006-0000-0000-0000A8050000}">
      <text>
        <r>
          <rPr>
            <b/>
            <sz val="9"/>
            <color indexed="81"/>
            <rFont val="Tahoma"/>
            <family val="2"/>
          </rPr>
          <t>JEnnen:</t>
        </r>
        <r>
          <rPr>
            <sz val="9"/>
            <color indexed="81"/>
            <rFont val="Tahoma"/>
            <family val="2"/>
          </rPr>
          <t xml:space="preserve">
2-3 median</t>
        </r>
      </text>
    </comment>
    <comment ref="J1210" authorId="703" shapeId="0" xr:uid="{00000000-0006-0000-0000-0000A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Cris Hagen pers.communciation (Sept 2020)</t>
        </r>
      </text>
    </comment>
    <comment ref="P1210" authorId="10" shapeId="0" xr:uid="{00000000-0006-0000-0000-0000AA050000}">
      <text>
        <r>
          <rPr>
            <b/>
            <sz val="9"/>
            <color indexed="81"/>
            <rFont val="Arial"/>
            <family val="2"/>
          </rPr>
          <t>John Iverson:</t>
        </r>
        <r>
          <rPr>
            <sz val="9"/>
            <color indexed="81"/>
            <rFont val="Arial"/>
            <family val="2"/>
          </rPr>
          <t xml:space="preserve">
estimated from our egg data set for R. areolata</t>
        </r>
      </text>
    </comment>
    <comment ref="J1213" authorId="704" shapeId="0" xr:uid="{00000000-0006-0000-0000-0000AB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Cris Hagen pers.communciation (Sept 2020)</t>
        </r>
      </text>
    </comment>
    <comment ref="P1213" authorId="10" shapeId="0" xr:uid="{00000000-0006-0000-0000-0000AC050000}">
      <text>
        <r>
          <rPr>
            <b/>
            <sz val="9"/>
            <color indexed="81"/>
            <rFont val="Arial"/>
            <family val="2"/>
          </rPr>
          <t>John Iverson:</t>
        </r>
        <r>
          <rPr>
            <sz val="9"/>
            <color indexed="81"/>
            <rFont val="Arial"/>
            <family val="2"/>
          </rPr>
          <t xml:space="preserve">
estmated from our egg data set from R. areolata</t>
        </r>
      </text>
    </comment>
    <comment ref="K1214" authorId="705" shapeId="0" xr:uid="{00000000-0006-0000-0000-0000AD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7-10 years reported</t>
        </r>
      </text>
    </comment>
    <comment ref="P1215" authorId="10" shapeId="0" xr:uid="{00000000-0006-0000-0000-0000AE050000}">
      <text>
        <r>
          <rPr>
            <b/>
            <sz val="9"/>
            <color indexed="81"/>
            <rFont val="Arial"/>
            <family val="2"/>
          </rPr>
          <t>John Iverson:</t>
        </r>
        <r>
          <rPr>
            <sz val="9"/>
            <color indexed="81"/>
            <rFont val="Arial"/>
            <family val="2"/>
          </rPr>
          <t xml:space="preserve">
estimated from our egg data set for R. areolata</t>
        </r>
      </text>
    </comment>
    <comment ref="J1218" authorId="706" shapeId="0" xr:uid="{00000000-0006-0000-0000-0000A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Dawn et al. (2020; CCB species account)</t>
        </r>
      </text>
    </comment>
    <comment ref="P1220" authorId="10" shapeId="0" xr:uid="{00000000-0006-0000-0000-0000B0050000}">
      <text>
        <r>
          <rPr>
            <b/>
            <sz val="9"/>
            <color indexed="81"/>
            <rFont val="Arial"/>
            <family val="2"/>
          </rPr>
          <t>John Iverson:</t>
        </r>
        <r>
          <rPr>
            <sz val="9"/>
            <color indexed="81"/>
            <rFont val="Arial"/>
            <family val="2"/>
          </rPr>
          <t xml:space="preserve">
estimated from our egg data set for M. leprosa</t>
        </r>
      </text>
    </comment>
    <comment ref="L1221" authorId="707" shapeId="0" xr:uid="{00000000-0006-0000-0000-0000B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range 5-10</t>
        </r>
      </text>
    </comment>
    <comment ref="J1223" authorId="708" shapeId="0" xr:uid="{00000000-0006-0000-0000-0000B2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Dawn et al. (2020; CCB species account)</t>
        </r>
      </text>
    </comment>
    <comment ref="I1224" authorId="10" shapeId="0" xr:uid="{00000000-0006-0000-0000-0000B3050000}">
      <text>
        <r>
          <rPr>
            <b/>
            <sz val="9"/>
            <color indexed="81"/>
            <rFont val="Arial"/>
            <family val="2"/>
          </rPr>
          <t>John Iverson:</t>
        </r>
        <r>
          <rPr>
            <sz val="9"/>
            <color indexed="81"/>
            <rFont val="Arial"/>
            <family val="2"/>
          </rPr>
          <t xml:space="preserve">
PL = 15.05</t>
        </r>
      </text>
    </comment>
    <comment ref="P1225" authorId="709" shapeId="0" xr:uid="{00000000-0006-0000-0000-0000B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Mauremys leprosa (Dec 2020)</t>
        </r>
      </text>
    </comment>
    <comment ref="I1226" authorId="710" shapeId="0" xr:uid="{00000000-0006-0000-0000-0000B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Females only</t>
        </r>
      </text>
    </comment>
    <comment ref="J1226" authorId="711" shapeId="0" xr:uid="{00000000-0006-0000-0000-0000B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Dawn et al. (2020; CCB species account)</t>
        </r>
      </text>
    </comment>
    <comment ref="J1230" authorId="712" shapeId="0" xr:uid="{00000000-0006-0000-0000-0000B7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mean BM-CL data from M. annamensis.</t>
        </r>
      </text>
    </comment>
    <comment ref="K1231" authorId="713" shapeId="0" xr:uid="{00000000-0006-0000-0000-0000B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5-7 years reported</t>
        </r>
      </text>
    </comment>
    <comment ref="P1232" authorId="10" shapeId="0" xr:uid="{00000000-0006-0000-0000-0000B9050000}">
      <text>
        <r>
          <rPr>
            <b/>
            <sz val="9"/>
            <color indexed="81"/>
            <rFont val="Arial"/>
            <family val="2"/>
          </rPr>
          <t>John Iverson:</t>
        </r>
        <r>
          <rPr>
            <sz val="9"/>
            <color indexed="81"/>
            <rFont val="Arial"/>
            <family val="2"/>
          </rPr>
          <t xml:space="preserve">
estimated from our egg data set</t>
        </r>
      </text>
    </comment>
    <comment ref="L1233" authorId="7" shapeId="0" xr:uid="{00000000-0006-0000-0000-0000BA050000}">
      <text>
        <r>
          <rPr>
            <b/>
            <sz val="9"/>
            <color indexed="81"/>
            <rFont val="Tahoma"/>
            <family val="2"/>
          </rPr>
          <t>JEnnen:</t>
        </r>
        <r>
          <rPr>
            <sz val="9"/>
            <color indexed="81"/>
            <rFont val="Tahoma"/>
            <family val="2"/>
          </rPr>
          <t xml:space="preserve">
1-4</t>
        </r>
      </text>
    </comment>
    <comment ref="T1233" authorId="7" shapeId="0" xr:uid="{00000000-0006-0000-0000-0000BB050000}">
      <text>
        <r>
          <rPr>
            <b/>
            <sz val="9"/>
            <color indexed="81"/>
            <rFont val="Tahoma"/>
            <family val="2"/>
          </rPr>
          <t>JEnnen:</t>
        </r>
        <r>
          <rPr>
            <sz val="9"/>
            <color indexed="81"/>
            <rFont val="Tahoma"/>
            <family val="2"/>
          </rPr>
          <t xml:space="preserve">
1-2 reported</t>
        </r>
      </text>
    </comment>
    <comment ref="L1235" authorId="7" shapeId="0" xr:uid="{00000000-0006-0000-0000-0000BC050000}">
      <text>
        <r>
          <rPr>
            <b/>
            <sz val="9"/>
            <color indexed="81"/>
            <rFont val="Tahoma"/>
            <family val="2"/>
          </rPr>
          <t>JEnnen:</t>
        </r>
        <r>
          <rPr>
            <sz val="9"/>
            <color indexed="81"/>
            <rFont val="Tahoma"/>
            <family val="2"/>
          </rPr>
          <t xml:space="preserve">
4-6</t>
        </r>
      </text>
    </comment>
    <comment ref="N1235" authorId="714" shapeId="0" xr:uid="{00000000-0006-0000-0000-0000BD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35-40</t>
        </r>
      </text>
    </comment>
    <comment ref="O1235" authorId="715" shapeId="0" xr:uid="{00000000-0006-0000-0000-0000BE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20-30</t>
        </r>
      </text>
    </comment>
    <comment ref="J1236" authorId="716" shapeId="0" xr:uid="{00000000-0006-0000-0000-0000B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out BM-CL data for M. rivulata from Rifai and Amr 2004</t>
        </r>
      </text>
    </comment>
    <comment ref="P1236" authorId="10" shapeId="0" xr:uid="{00000000-0006-0000-0000-0000C0050000}">
      <text>
        <r>
          <rPr>
            <b/>
            <sz val="9"/>
            <color indexed="81"/>
            <rFont val="Arial"/>
            <family val="2"/>
          </rPr>
          <t>John Iverson:</t>
        </r>
        <r>
          <rPr>
            <sz val="9"/>
            <color indexed="81"/>
            <rFont val="Arial"/>
            <family val="2"/>
          </rPr>
          <t xml:space="preserve">
estimated from our egg data set for M. mutica</t>
        </r>
      </text>
    </comment>
    <comment ref="T1236" authorId="7" shapeId="0" xr:uid="{00000000-0006-0000-0000-0000C1050000}">
      <text>
        <r>
          <rPr>
            <b/>
            <sz val="9"/>
            <color indexed="81"/>
            <rFont val="Tahoma"/>
            <family val="2"/>
          </rPr>
          <t>JEnnen:</t>
        </r>
        <r>
          <rPr>
            <sz val="9"/>
            <color indexed="81"/>
            <rFont val="Tahoma"/>
            <family val="2"/>
          </rPr>
          <t xml:space="preserve">
2-3 median</t>
        </r>
      </text>
    </comment>
    <comment ref="L1237" authorId="10" shapeId="0" xr:uid="{00000000-0006-0000-0000-0000C2050000}">
      <text>
        <r>
          <rPr>
            <b/>
            <sz val="9"/>
            <color indexed="81"/>
            <rFont val="Arial"/>
            <family val="2"/>
          </rPr>
          <t>John Iverson:</t>
        </r>
        <r>
          <rPr>
            <sz val="9"/>
            <color indexed="81"/>
            <rFont val="Arial"/>
            <family val="2"/>
          </rPr>
          <t xml:space="preserve">
"6-11"</t>
        </r>
      </text>
    </comment>
    <comment ref="T1237" authorId="7" shapeId="0" xr:uid="{00000000-0006-0000-0000-0000C3050000}">
      <text>
        <r>
          <rPr>
            <b/>
            <sz val="9"/>
            <color indexed="81"/>
            <rFont val="Tahoma"/>
            <family val="2"/>
          </rPr>
          <t>JEnnen:</t>
        </r>
        <r>
          <rPr>
            <sz val="9"/>
            <color indexed="81"/>
            <rFont val="Tahoma"/>
            <family val="2"/>
          </rPr>
          <t xml:space="preserve">
1-2 reported</t>
        </r>
      </text>
    </comment>
    <comment ref="L1238" authorId="7" shapeId="0" xr:uid="{00000000-0006-0000-0000-0000C4050000}">
      <text>
        <r>
          <rPr>
            <b/>
            <sz val="9"/>
            <color indexed="81"/>
            <rFont val="Tahoma"/>
            <family val="2"/>
          </rPr>
          <t>JEnnen:</t>
        </r>
        <r>
          <rPr>
            <sz val="9"/>
            <color indexed="81"/>
            <rFont val="Tahoma"/>
            <family val="2"/>
          </rPr>
          <t xml:space="preserve">
8-10</t>
        </r>
      </text>
    </comment>
    <comment ref="P1239" authorId="717" shapeId="0" xr:uid="{00000000-0006-0000-0000-0000C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from M. reevesii.</t>
        </r>
      </text>
    </comment>
    <comment ref="J1240" authorId="10" shapeId="0" xr:uid="{00000000-0006-0000-0000-0000C6050000}">
      <text>
        <r>
          <rPr>
            <b/>
            <sz val="9"/>
            <color indexed="81"/>
            <rFont val="Arial"/>
            <family val="2"/>
          </rPr>
          <t>John Iverson:</t>
        </r>
        <r>
          <rPr>
            <sz val="9"/>
            <color indexed="81"/>
            <rFont val="Arial"/>
            <family val="2"/>
          </rPr>
          <t xml:space="preserve">
estimated from data in Tables 1-2 in paper</t>
        </r>
      </text>
    </comment>
    <comment ref="T1240" authorId="7" shapeId="0" xr:uid="{00000000-0006-0000-0000-0000C7050000}">
      <text>
        <r>
          <rPr>
            <b/>
            <sz val="9"/>
            <color indexed="81"/>
            <rFont val="Tahoma"/>
            <family val="2"/>
          </rPr>
          <t>JEnnen:</t>
        </r>
        <r>
          <rPr>
            <sz val="9"/>
            <color indexed="81"/>
            <rFont val="Tahoma"/>
            <family val="2"/>
          </rPr>
          <t xml:space="preserve">
1-2 reported</t>
        </r>
      </text>
    </comment>
    <comment ref="K1241" authorId="7" shapeId="0" xr:uid="{00000000-0006-0000-0000-0000C8050000}">
      <text>
        <r>
          <rPr>
            <b/>
            <sz val="9"/>
            <color indexed="81"/>
            <rFont val="Tahoma"/>
            <family val="2"/>
          </rPr>
          <t>JEnnen:</t>
        </r>
        <r>
          <rPr>
            <sz val="9"/>
            <color indexed="81"/>
            <rFont val="Tahoma"/>
            <family val="2"/>
          </rPr>
          <t xml:space="preserve">
3-7 reported</t>
        </r>
      </text>
    </comment>
    <comment ref="L1241" authorId="7" shapeId="0" xr:uid="{00000000-0006-0000-0000-0000C9050000}">
      <text>
        <r>
          <rPr>
            <b/>
            <sz val="9"/>
            <color indexed="81"/>
            <rFont val="Tahoma"/>
            <family val="2"/>
          </rPr>
          <t>JEnnen:</t>
        </r>
        <r>
          <rPr>
            <sz val="9"/>
            <color indexed="81"/>
            <rFont val="Tahoma"/>
            <family val="2"/>
          </rPr>
          <t xml:space="preserve">
5-6</t>
        </r>
      </text>
    </comment>
    <comment ref="T1247" authorId="7" shapeId="0" xr:uid="{00000000-0006-0000-0000-0000CA050000}">
      <text>
        <r>
          <rPr>
            <b/>
            <sz val="9"/>
            <color indexed="81"/>
            <rFont val="Tahoma"/>
            <family val="2"/>
          </rPr>
          <t>JEnnen:</t>
        </r>
        <r>
          <rPr>
            <sz val="9"/>
            <color indexed="81"/>
            <rFont val="Tahoma"/>
            <family val="2"/>
          </rPr>
          <t xml:space="preserve">
2-3 median</t>
        </r>
      </text>
    </comment>
    <comment ref="J1252" authorId="10" shapeId="0" xr:uid="{00000000-0006-0000-0000-0000CB050000}">
      <text>
        <r>
          <rPr>
            <b/>
            <sz val="9"/>
            <color indexed="81"/>
            <rFont val="Arial"/>
            <family val="2"/>
          </rPr>
          <t>John Iverson:</t>
        </r>
        <r>
          <rPr>
            <sz val="9"/>
            <color indexed="81"/>
            <rFont val="Arial"/>
            <family val="2"/>
          </rPr>
          <t xml:space="preserve">
estmated from BM-CL data in Meek 1987</t>
        </r>
      </text>
    </comment>
    <comment ref="T1252" authorId="7" shapeId="0" xr:uid="{00000000-0006-0000-0000-0000CC050000}">
      <text>
        <r>
          <rPr>
            <b/>
            <sz val="9"/>
            <color indexed="81"/>
            <rFont val="Tahoma"/>
            <family val="2"/>
          </rPr>
          <t>JEnnen:</t>
        </r>
        <r>
          <rPr>
            <sz val="9"/>
            <color indexed="81"/>
            <rFont val="Tahoma"/>
            <family val="2"/>
          </rPr>
          <t xml:space="preserve">
1-2 reported</t>
        </r>
      </text>
    </comment>
    <comment ref="J1256" authorId="10" shapeId="0" xr:uid="{00000000-0006-0000-0000-0000CD050000}">
      <text>
        <r>
          <rPr>
            <b/>
            <sz val="9"/>
            <color indexed="81"/>
            <rFont val="Arial"/>
            <family val="2"/>
          </rPr>
          <t>John Iverson:</t>
        </r>
        <r>
          <rPr>
            <sz val="9"/>
            <color indexed="81"/>
            <rFont val="Arial"/>
            <family val="2"/>
          </rPr>
          <t xml:space="preserve">
estmated from Fig. 23 in thesis</t>
        </r>
      </text>
    </comment>
    <comment ref="K1256" authorId="7" shapeId="0" xr:uid="{00000000-0006-0000-0000-0000CE050000}">
      <text>
        <r>
          <rPr>
            <b/>
            <sz val="9"/>
            <color indexed="81"/>
            <rFont val="Tahoma"/>
            <family val="2"/>
          </rPr>
          <t>JEnnen:</t>
        </r>
        <r>
          <rPr>
            <sz val="9"/>
            <color indexed="81"/>
            <rFont val="Tahoma"/>
            <family val="2"/>
          </rPr>
          <t xml:space="preserve">
7-12 reported</t>
        </r>
      </text>
    </comment>
    <comment ref="J1257" authorId="718" shapeId="0" xr:uid="{00000000-0006-0000-0000-0000C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Meek 1987, pers. comm. (Sept 2020)</t>
        </r>
      </text>
    </comment>
    <comment ref="N1258" authorId="11" shapeId="0" xr:uid="{00000000-0006-0000-0000-0000D0050000}">
      <text>
        <r>
          <rPr>
            <b/>
            <sz val="9"/>
            <color indexed="81"/>
            <rFont val="Tahoma"/>
            <family val="2"/>
          </rPr>
          <t>TNACI:</t>
        </r>
        <r>
          <rPr>
            <sz val="9"/>
            <color indexed="81"/>
            <rFont val="Tahoma"/>
            <family val="2"/>
          </rPr>
          <t xml:space="preserve">
estimated from EM = 0.160EL + 0.374EW - 4.851 Iverson Unpublished data</t>
        </r>
      </text>
    </comment>
    <comment ref="G1259" authorId="719" shapeId="0" xr:uid="{00000000-0006-0000-0000-0000D1050000}">
      <text>
        <r>
          <rPr>
            <sz val="10"/>
            <color rgb="FF000000"/>
            <rFont val="Arial"/>
            <family val="2"/>
          </rPr>
          <t xml:space="preserve">
Comment:
    estimated ca. 25</t>
        </r>
      </text>
    </comment>
    <comment ref="K1259" authorId="7" shapeId="0" xr:uid="{00000000-0006-0000-0000-0000D2050000}">
      <text>
        <r>
          <rPr>
            <b/>
            <sz val="9"/>
            <color indexed="81"/>
            <rFont val="Tahoma"/>
            <family val="2"/>
          </rPr>
          <t>JEnnen:</t>
        </r>
        <r>
          <rPr>
            <sz val="9"/>
            <color indexed="81"/>
            <rFont val="Tahoma"/>
            <family val="2"/>
          </rPr>
          <t xml:space="preserve">
7-8 reported</t>
        </r>
      </text>
    </comment>
    <comment ref="P1262" authorId="11" shapeId="0" xr:uid="{00000000-0006-0000-0000-0000D3050000}">
      <text>
        <r>
          <rPr>
            <b/>
            <sz val="9"/>
            <color indexed="81"/>
            <rFont val="Tahoma"/>
            <family val="2"/>
          </rPr>
          <t>TNACI:</t>
        </r>
        <r>
          <rPr>
            <sz val="9"/>
            <color indexed="81"/>
            <rFont val="Tahoma"/>
            <family val="2"/>
          </rPr>
          <t xml:space="preserve">
estimated from EM = 0.160EL + 0.374EW - 4.851 Iverson unpublished data</t>
        </r>
      </text>
    </comment>
    <comment ref="J1263" authorId="720" shapeId="0" xr:uid="{00000000-0006-0000-0000-0000D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Ting Zhou unpub. data (Oct 2020)</t>
        </r>
      </text>
    </comment>
    <comment ref="T1263" authorId="7" shapeId="0" xr:uid="{00000000-0006-0000-0000-0000D5050000}">
      <text>
        <r>
          <rPr>
            <b/>
            <sz val="9"/>
            <color indexed="81"/>
            <rFont val="Tahoma"/>
            <family val="2"/>
          </rPr>
          <t>JEnnen:</t>
        </r>
        <r>
          <rPr>
            <sz val="9"/>
            <color indexed="81"/>
            <rFont val="Tahoma"/>
            <family val="2"/>
          </rPr>
          <t xml:space="preserve">
up to 4</t>
        </r>
      </text>
    </comment>
    <comment ref="J1264" authorId="721" shapeId="0" xr:uid="{00000000-0006-0000-0000-0000D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Ting Zhou unpub. data (Oct 2020)</t>
        </r>
      </text>
    </comment>
    <comment ref="J1265" authorId="722" shapeId="0" xr:uid="{00000000-0006-0000-0000-0000D7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Ting Zhou unpub. data (Oct 2020)</t>
        </r>
      </text>
    </comment>
    <comment ref="J1266" authorId="723" shapeId="0" xr:uid="{00000000-0006-0000-0000-0000D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Ting Zhou unpub. data (Oct 2020)</t>
        </r>
      </text>
    </comment>
    <comment ref="F1267" authorId="724" shapeId="0" xr:uid="{00000000-0006-0000-0000-0000D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(Ishigaki Island)</t>
        </r>
      </text>
    </comment>
    <comment ref="N1267" authorId="10" shapeId="0" xr:uid="{00000000-0006-0000-0000-0000DA050000}">
      <text>
        <r>
          <rPr>
            <b/>
            <sz val="9"/>
            <color indexed="81"/>
            <rFont val="Arial"/>
            <family val="2"/>
          </rPr>
          <t>John Iverson:</t>
        </r>
        <r>
          <rPr>
            <sz val="9"/>
            <color indexed="81"/>
            <rFont val="Arial"/>
            <family val="2"/>
          </rPr>
          <t xml:space="preserve">
"35-39"</t>
        </r>
      </text>
    </comment>
    <comment ref="O1267" authorId="10" shapeId="0" xr:uid="{00000000-0006-0000-0000-0000DB050000}">
      <text>
        <r>
          <rPr>
            <b/>
            <sz val="9"/>
            <color indexed="81"/>
            <rFont val="Arial"/>
            <family val="2"/>
          </rPr>
          <t>John Iverson:</t>
        </r>
        <r>
          <rPr>
            <sz val="9"/>
            <color indexed="81"/>
            <rFont val="Arial"/>
            <family val="2"/>
          </rPr>
          <t xml:space="preserve">
"18-22"</t>
        </r>
      </text>
    </comment>
    <comment ref="P1267" authorId="10" shapeId="0" xr:uid="{00000000-0006-0000-0000-0000DC050000}">
      <text>
        <r>
          <rPr>
            <b/>
            <sz val="9"/>
            <color indexed="81"/>
            <rFont val="Arial"/>
            <family val="2"/>
          </rPr>
          <t>John Iverson:</t>
        </r>
        <r>
          <rPr>
            <sz val="9"/>
            <color indexed="81"/>
            <rFont val="Arial"/>
            <family val="2"/>
          </rPr>
          <t xml:space="preserve">
estimated from our egg data set for M. mutica</t>
        </r>
      </text>
    </comment>
    <comment ref="T1267" authorId="10" shapeId="0" xr:uid="{00000000-0006-0000-0000-0000DD050000}">
      <text>
        <r>
          <rPr>
            <b/>
            <sz val="9"/>
            <color indexed="81"/>
            <rFont val="Arial"/>
            <family val="2"/>
          </rPr>
          <t>John Iverson:</t>
        </r>
        <r>
          <rPr>
            <sz val="9"/>
            <color indexed="81"/>
            <rFont val="Arial"/>
            <family val="2"/>
          </rPr>
          <t xml:space="preserve">
2-5</t>
        </r>
      </text>
    </comment>
    <comment ref="L1268" authorId="7" shapeId="0" xr:uid="{00000000-0006-0000-0000-0000DE050000}">
      <text>
        <r>
          <rPr>
            <b/>
            <sz val="9"/>
            <color indexed="81"/>
            <rFont val="Tahoma"/>
            <family val="2"/>
          </rPr>
          <t>JEnnen:</t>
        </r>
        <r>
          <rPr>
            <sz val="9"/>
            <color indexed="81"/>
            <rFont val="Tahoma"/>
            <family val="2"/>
          </rPr>
          <t xml:space="preserve">
1-4</t>
        </r>
      </text>
    </comment>
    <comment ref="J1270" authorId="725" shapeId="0" xr:uid="{00000000-0006-0000-0000-0000D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Ting Zhou unpub. data (Oct 2020)</t>
        </r>
      </text>
    </comment>
    <comment ref="I1275" authorId="10" shapeId="0" xr:uid="{00000000-0006-0000-0000-0000E0050000}">
      <text>
        <r>
          <rPr>
            <b/>
            <sz val="9"/>
            <color indexed="81"/>
            <rFont val="Arial"/>
            <family val="2"/>
          </rPr>
          <t>John Iverson:</t>
        </r>
        <r>
          <rPr>
            <sz val="9"/>
            <color indexed="81"/>
            <rFont val="Arial"/>
            <family val="2"/>
          </rPr>
          <t xml:space="preserve">
PL = 20.5; CL estimated from PL/CL ratio for females from John Iverson, unpublished: 0.887.</t>
        </r>
      </text>
    </comment>
    <comment ref="L1275" authorId="10" shapeId="0" xr:uid="{00000000-0006-0000-0000-0000E1050000}">
      <text>
        <r>
          <rPr>
            <b/>
            <sz val="9"/>
            <color indexed="81"/>
            <rFont val="Arial"/>
            <family val="2"/>
          </rPr>
          <t>John Iverson:</t>
        </r>
        <r>
          <rPr>
            <sz val="9"/>
            <color indexed="81"/>
            <rFont val="Arial"/>
            <family val="2"/>
          </rPr>
          <t xml:space="preserve">
3, 5; 2-9 overall</t>
        </r>
      </text>
    </comment>
    <comment ref="P1275" authorId="10" shapeId="0" xr:uid="{00000000-0006-0000-0000-0000E2050000}">
      <text>
        <r>
          <rPr>
            <b/>
            <sz val="9"/>
            <color indexed="81"/>
            <rFont val="Arial"/>
            <family val="2"/>
          </rPr>
          <t>John Iverson:</t>
        </r>
        <r>
          <rPr>
            <sz val="9"/>
            <color indexed="81"/>
            <rFont val="Arial"/>
            <family val="2"/>
          </rPr>
          <t xml:space="preserve">
estimated from our egg data set for M. reevesii</t>
        </r>
      </text>
    </comment>
    <comment ref="T1275" authorId="7" shapeId="0" xr:uid="{00000000-0006-0000-0000-0000E3050000}">
      <text>
        <r>
          <rPr>
            <b/>
            <sz val="9"/>
            <color indexed="81"/>
            <rFont val="Tahoma"/>
            <family val="2"/>
          </rPr>
          <t>JEnnen:</t>
        </r>
        <r>
          <rPr>
            <sz val="9"/>
            <color indexed="81"/>
            <rFont val="Tahoma"/>
            <family val="2"/>
          </rPr>
          <t xml:space="preserve">
1-3 median</t>
        </r>
      </text>
    </comment>
    <comment ref="O1277" authorId="726" shapeId="0" xr:uid="{00000000-0006-0000-0000-0000E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37-45</t>
        </r>
      </text>
    </comment>
    <comment ref="P1277" authorId="727" shapeId="0" xr:uid="{00000000-0006-0000-0000-0000E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10-16</t>
        </r>
      </text>
    </comment>
    <comment ref="L1278" authorId="7" shapeId="0" xr:uid="{00000000-0006-0000-0000-0000E6050000}">
      <text>
        <r>
          <rPr>
            <b/>
            <sz val="9"/>
            <color indexed="81"/>
            <rFont val="Tahoma"/>
            <family val="2"/>
          </rPr>
          <t>JEnnen:</t>
        </r>
        <r>
          <rPr>
            <sz val="9"/>
            <color indexed="81"/>
            <rFont val="Tahoma"/>
            <family val="2"/>
          </rPr>
          <t xml:space="preserve">
2-8
</t>
        </r>
      </text>
    </comment>
    <comment ref="N1278" authorId="728" shapeId="0" xr:uid="{00000000-0006-0000-0000-0000E7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36-40</t>
        </r>
      </text>
    </comment>
    <comment ref="O1278" authorId="729" shapeId="0" xr:uid="{00000000-0006-0000-0000-0000E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20-23</t>
        </r>
      </text>
    </comment>
    <comment ref="L1281" authorId="10" shapeId="0" xr:uid="{00000000-0006-0000-0000-0000E9050000}">
      <text>
        <r>
          <rPr>
            <b/>
            <sz val="9"/>
            <color indexed="81"/>
            <rFont val="Arial"/>
            <family val="2"/>
          </rPr>
          <t>John Iverson:</t>
        </r>
        <r>
          <rPr>
            <sz val="9"/>
            <color indexed="81"/>
            <rFont val="Arial"/>
            <family val="2"/>
          </rPr>
          <t xml:space="preserve">
"3-5"</t>
        </r>
      </text>
    </comment>
    <comment ref="N1281" authorId="10" shapeId="0" xr:uid="{00000000-0006-0000-0000-0000EA050000}">
      <text>
        <r>
          <rPr>
            <b/>
            <sz val="9"/>
            <color indexed="81"/>
            <rFont val="Arial"/>
            <family val="2"/>
          </rPr>
          <t>John Iverson:</t>
        </r>
        <r>
          <rPr>
            <sz val="9"/>
            <color indexed="81"/>
            <rFont val="Arial"/>
            <family val="2"/>
          </rPr>
          <t xml:space="preserve">
"37-40"</t>
        </r>
      </text>
    </comment>
    <comment ref="O1281" authorId="10" shapeId="0" xr:uid="{00000000-0006-0000-0000-0000EB050000}">
      <text>
        <r>
          <rPr>
            <b/>
            <sz val="9"/>
            <color indexed="81"/>
            <rFont val="Arial"/>
            <family val="2"/>
          </rPr>
          <t>John Iverson:</t>
        </r>
        <r>
          <rPr>
            <sz val="9"/>
            <color indexed="81"/>
            <rFont val="Arial"/>
            <family val="2"/>
          </rPr>
          <t xml:space="preserve">
"20-22"</t>
        </r>
      </text>
    </comment>
    <comment ref="P1281" authorId="10" shapeId="0" xr:uid="{00000000-0006-0000-0000-0000EC050000}">
      <text>
        <r>
          <rPr>
            <b/>
            <sz val="9"/>
            <color indexed="81"/>
            <rFont val="Arial"/>
            <family val="2"/>
          </rPr>
          <t>John Iverson:</t>
        </r>
        <r>
          <rPr>
            <sz val="9"/>
            <color indexed="81"/>
            <rFont val="Arial"/>
            <family val="2"/>
          </rPr>
          <t xml:space="preserve">
"9-10"</t>
        </r>
      </text>
    </comment>
    <comment ref="L1282" authorId="7" shapeId="0" xr:uid="{00000000-0006-0000-0000-0000ED050000}">
      <text>
        <r>
          <rPr>
            <b/>
            <sz val="9"/>
            <color indexed="81"/>
            <rFont val="Tahoma"/>
            <family val="2"/>
          </rPr>
          <t>JEnnen:</t>
        </r>
        <r>
          <rPr>
            <sz val="9"/>
            <color indexed="81"/>
            <rFont val="Tahoma"/>
            <family val="2"/>
          </rPr>
          <t xml:space="preserve">
4-9</t>
        </r>
      </text>
    </comment>
    <comment ref="T1282" authorId="7" shapeId="0" xr:uid="{00000000-0006-0000-0000-0000EE050000}">
      <text>
        <r>
          <rPr>
            <b/>
            <sz val="9"/>
            <color indexed="81"/>
            <rFont val="Tahoma"/>
            <family val="2"/>
          </rPr>
          <t>JEnnen:</t>
        </r>
        <r>
          <rPr>
            <sz val="9"/>
            <color indexed="81"/>
            <rFont val="Tahoma"/>
            <family val="2"/>
          </rPr>
          <t xml:space="preserve">
2-3 reported</t>
        </r>
      </text>
    </comment>
    <comment ref="J1283" authorId="730" shapeId="0" xr:uid="{00000000-0006-0000-0000-0000EF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Auth (unpub. data).</t>
        </r>
      </text>
    </comment>
    <comment ref="T1283" authorId="7" shapeId="0" xr:uid="{00000000-0006-0000-0000-0000F0050000}">
      <text>
        <r>
          <rPr>
            <b/>
            <sz val="9"/>
            <color indexed="81"/>
            <rFont val="Tahoma"/>
            <family val="2"/>
          </rPr>
          <t>JEnnen:</t>
        </r>
        <r>
          <rPr>
            <sz val="9"/>
            <color indexed="81"/>
            <rFont val="Tahoma"/>
            <family val="2"/>
          </rPr>
          <t xml:space="preserve">
1-2 reported</t>
        </r>
      </text>
    </comment>
    <comment ref="F1286" authorId="731" shapeId="0" xr:uid="{00000000-0006-0000-0000-0000F1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China</t>
        </r>
      </text>
    </comment>
    <comment ref="P1288" authorId="10" shapeId="0" xr:uid="{00000000-0006-0000-0000-0000F2050000}">
      <text>
        <r>
          <rPr>
            <b/>
            <sz val="9"/>
            <color indexed="81"/>
            <rFont val="Arial"/>
            <family val="2"/>
          </rPr>
          <t>John Iverson:</t>
        </r>
        <r>
          <rPr>
            <sz val="9"/>
            <color indexed="81"/>
            <rFont val="Arial"/>
            <family val="2"/>
          </rPr>
          <t xml:space="preserve">
estimated from our egg data set</t>
        </r>
      </text>
    </comment>
    <comment ref="T1288" authorId="7" shapeId="0" xr:uid="{00000000-0006-0000-0000-0000F3050000}">
      <text>
        <r>
          <rPr>
            <b/>
            <sz val="9"/>
            <color indexed="81"/>
            <rFont val="Tahoma"/>
            <family val="2"/>
          </rPr>
          <t>JEnnen:</t>
        </r>
        <r>
          <rPr>
            <sz val="9"/>
            <color indexed="81"/>
            <rFont val="Tahoma"/>
            <family val="2"/>
          </rPr>
          <t xml:space="preserve">
1-3 reported</t>
        </r>
      </text>
    </comment>
    <comment ref="K1289" authorId="732" shapeId="0" xr:uid="{00000000-0006-0000-0000-0000F4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5-7 years reported</t>
        </r>
      </text>
    </comment>
    <comment ref="J1290" authorId="733" shapeId="0" xr:uid="{00000000-0006-0000-0000-0000F5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0.001*CL^3.0233 Rifai and Amr 2004</t>
        </r>
      </text>
    </comment>
    <comment ref="K1291" authorId="734" shapeId="0" xr:uid="{00000000-0006-0000-0000-0000F6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5-7</t>
        </r>
      </text>
    </comment>
    <comment ref="J1292" authorId="735" shapeId="0" xr:uid="{00000000-0006-0000-0000-0000F7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0.001*CL^3.0233 Rifai and Amr 2004</t>
        </r>
      </text>
    </comment>
    <comment ref="P1292" authorId="736" shapeId="0" xr:uid="{00000000-0006-0000-0000-0000F8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M. reevisii (Aug 2020)</t>
        </r>
      </text>
    </comment>
    <comment ref="J1293" authorId="737" shapeId="0" xr:uid="{00000000-0006-0000-0000-0000F9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0.001*CL^3.0233 Rifai and Amr 2004</t>
        </r>
      </text>
    </comment>
    <comment ref="P1293" authorId="738" shapeId="0" xr:uid="{00000000-0006-0000-0000-0000FA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M. reevisii (Aug 2020)</t>
        </r>
      </text>
    </comment>
    <comment ref="P1294" authorId="739" shapeId="0" xr:uid="{00000000-0006-0000-0000-0000FB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M. reevisii (Aug 2020)</t>
        </r>
      </text>
    </comment>
    <comment ref="K1296" authorId="7" shapeId="0" xr:uid="{00000000-0006-0000-0000-0000FC050000}">
      <text>
        <r>
          <rPr>
            <b/>
            <sz val="9"/>
            <color indexed="81"/>
            <rFont val="Tahoma"/>
            <family val="2"/>
          </rPr>
          <t>JEnnen:</t>
        </r>
        <r>
          <rPr>
            <sz val="9"/>
            <color indexed="81"/>
            <rFont val="Tahoma"/>
            <family val="2"/>
          </rPr>
          <t xml:space="preserve">
5-7 reported</t>
        </r>
      </text>
    </comment>
    <comment ref="L1298" authorId="7" shapeId="0" xr:uid="{00000000-0006-0000-0000-0000FD050000}">
      <text>
        <r>
          <rPr>
            <b/>
            <sz val="9"/>
            <color indexed="81"/>
            <rFont val="Tahoma"/>
            <family val="2"/>
          </rPr>
          <t>JEnnen:</t>
        </r>
        <r>
          <rPr>
            <sz val="9"/>
            <color indexed="81"/>
            <rFont val="Tahoma"/>
            <family val="2"/>
          </rPr>
          <t xml:space="preserve">
1-3</t>
        </r>
      </text>
    </comment>
    <comment ref="P1298" authorId="740" shapeId="0" xr:uid="{00000000-0006-0000-0000-0000FE05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Melanochelys trijuga (DEC 2020)</t>
        </r>
      </text>
    </comment>
    <comment ref="T1300" authorId="7" shapeId="0" xr:uid="{00000000-0006-0000-0000-0000FF050000}">
      <text>
        <r>
          <rPr>
            <b/>
            <sz val="9"/>
            <color indexed="81"/>
            <rFont val="Tahoma"/>
            <family val="2"/>
          </rPr>
          <t>JEnnen:</t>
        </r>
        <r>
          <rPr>
            <sz val="9"/>
            <color indexed="81"/>
            <rFont val="Tahoma"/>
            <family val="2"/>
          </rPr>
          <t xml:space="preserve">
1-2 reported</t>
        </r>
      </text>
    </comment>
    <comment ref="J1304" authorId="741" shapeId="0" xr:uid="{00000000-0006-0000-0000-00000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Deraniyagala 1939</t>
        </r>
      </text>
    </comment>
    <comment ref="L1305" authorId="7" shapeId="0" xr:uid="{00000000-0006-0000-0000-000001060000}">
      <text>
        <r>
          <rPr>
            <b/>
            <sz val="9"/>
            <color indexed="81"/>
            <rFont val="Tahoma"/>
            <family val="2"/>
          </rPr>
          <t>JEnnen:</t>
        </r>
        <r>
          <rPr>
            <sz val="9"/>
            <color indexed="81"/>
            <rFont val="Tahoma"/>
            <family val="2"/>
          </rPr>
          <t xml:space="preserve">
2-3
</t>
        </r>
      </text>
    </comment>
    <comment ref="J1307" authorId="742" shapeId="0" xr:uid="{00000000-0006-0000-0000-00000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Deraniyagala 1939</t>
        </r>
      </text>
    </comment>
    <comment ref="P1308" authorId="743" shapeId="0" xr:uid="{00000000-0006-0000-0000-00000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(Sept 2020)</t>
        </r>
      </text>
    </comment>
    <comment ref="P1309" authorId="10" shapeId="0" xr:uid="{00000000-0006-0000-0000-000004060000}">
      <text>
        <r>
          <rPr>
            <b/>
            <sz val="9"/>
            <color indexed="81"/>
            <rFont val="Arial"/>
            <family val="2"/>
          </rPr>
          <t>John Iverson:</t>
        </r>
        <r>
          <rPr>
            <sz val="9"/>
            <color indexed="81"/>
            <rFont val="Arial"/>
            <family val="2"/>
          </rPr>
          <t xml:space="preserve">
estimated from our egg data set</t>
        </r>
      </text>
    </comment>
    <comment ref="J1310" authorId="744" shapeId="0" xr:uid="{00000000-0006-0000-0000-000005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760, cell value is SBM + Clutch Mass.</t>
        </r>
      </text>
    </comment>
    <comment ref="I1311" authorId="745" shapeId="0" xr:uid="{00000000-0006-0000-0000-000006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Deraniyagala 1939</t>
        </r>
      </text>
    </comment>
    <comment ref="I1312" authorId="746" shapeId="0" xr:uid="{00000000-0006-0000-0000-000007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Deraniyagala 1939</t>
        </r>
      </text>
    </comment>
    <comment ref="J1313" authorId="10" shapeId="0" xr:uid="{00000000-0006-0000-0000-000008060000}">
      <text>
        <r>
          <rPr>
            <b/>
            <sz val="9"/>
            <color indexed="81"/>
            <rFont val="Arial"/>
            <family val="2"/>
          </rPr>
          <t>John Iverson:</t>
        </r>
        <r>
          <rPr>
            <sz val="9"/>
            <color indexed="81"/>
            <rFont val="Arial"/>
            <family val="2"/>
          </rPr>
          <t xml:space="preserve">
estimated from our BM-CL data for M. trijuga from Crow</t>
        </r>
      </text>
    </comment>
    <comment ref="L1313" authorId="10" shapeId="0" xr:uid="{00000000-0006-0000-0000-000009060000}">
      <text>
        <r>
          <rPr>
            <b/>
            <sz val="9"/>
            <color indexed="81"/>
            <rFont val="Arial"/>
            <family val="2"/>
          </rPr>
          <t>John Iverson:</t>
        </r>
        <r>
          <rPr>
            <sz val="9"/>
            <color indexed="81"/>
            <rFont val="Arial"/>
            <family val="2"/>
          </rPr>
          <t xml:space="preserve">
"3-5"</t>
        </r>
      </text>
    </comment>
    <comment ref="G1315" authorId="747" shapeId="0" xr:uid="{00000000-0006-0000-0000-00000A060000}">
      <text>
        <r>
          <rPr>
            <sz val="10"/>
            <color rgb="FF000000"/>
            <rFont val="Arial"/>
            <family val="2"/>
          </rPr>
          <t xml:space="preserve">
Comment:
    Not provided by authors but estimated from the map.</t>
        </r>
      </text>
    </comment>
    <comment ref="J1317" authorId="748" shapeId="0" xr:uid="{00000000-0006-0000-0000-00000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Deraniyagala 1939</t>
        </r>
      </text>
    </comment>
    <comment ref="J1319" authorId="749" shapeId="0" xr:uid="{00000000-0006-0000-0000-00000C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Deraniyagala 1939</t>
        </r>
      </text>
    </comment>
    <comment ref="G1320" authorId="750" shapeId="0" xr:uid="{00000000-0006-0000-0000-00000D060000}">
      <text>
        <r>
          <rPr>
            <sz val="10"/>
            <color rgb="FF000000"/>
            <rFont val="Arial"/>
            <family val="2"/>
          </rPr>
          <t xml:space="preserve">
Comment:
    estimated ca. 18</t>
        </r>
      </text>
    </comment>
    <comment ref="P1321" authorId="10" shapeId="0" xr:uid="{00000000-0006-0000-0000-00000E060000}">
      <text>
        <r>
          <rPr>
            <b/>
            <sz val="9"/>
            <color indexed="81"/>
            <rFont val="Arial"/>
            <family val="2"/>
          </rPr>
          <t>John Iverson:</t>
        </r>
        <r>
          <rPr>
            <sz val="9"/>
            <color indexed="81"/>
            <rFont val="Arial"/>
            <family val="2"/>
          </rPr>
          <t xml:space="preserve">
estimated from our egg data set for M. mutica</t>
        </r>
      </text>
    </comment>
    <comment ref="L1322" authorId="1" shapeId="0" xr:uid="{00000000-0006-0000-0000-00000F060000}">
      <text>
        <r>
          <rPr>
            <sz val="10"/>
            <color rgb="FF000000"/>
            <rFont val="Arial"/>
            <family val="2"/>
          </rPr>
          <t>calculated from table 2
	-Joshua Ennen</t>
        </r>
      </text>
    </comment>
    <comment ref="G1324" authorId="751" shapeId="0" xr:uid="{00000000-0006-0000-0000-000010060000}">
      <text>
        <r>
          <rPr>
            <sz val="10"/>
            <color rgb="FF000000"/>
            <rFont val="Arial"/>
            <family val="2"/>
          </rPr>
          <t xml:space="preserve">
Comment:
    estimated ca. 24</t>
        </r>
      </text>
    </comment>
    <comment ref="L1324" authorId="10" shapeId="0" xr:uid="{00000000-0006-0000-0000-000011060000}">
      <text>
        <r>
          <rPr>
            <b/>
            <sz val="9"/>
            <color indexed="81"/>
            <rFont val="Arial"/>
            <family val="2"/>
          </rPr>
          <t>John Iverson:</t>
        </r>
        <r>
          <rPr>
            <sz val="9"/>
            <color indexed="81"/>
            <rFont val="Arial"/>
            <family val="2"/>
          </rPr>
          <t xml:space="preserve">
"6-10"</t>
        </r>
      </text>
    </comment>
    <comment ref="P1326" authorId="10" shapeId="0" xr:uid="{00000000-0006-0000-0000-000012060000}">
      <text>
        <r>
          <rPr>
            <b/>
            <sz val="9"/>
            <color indexed="81"/>
            <rFont val="Arial"/>
            <family val="2"/>
          </rPr>
          <t>John Iverson:</t>
        </r>
        <r>
          <rPr>
            <sz val="9"/>
            <color indexed="81"/>
            <rFont val="Arial"/>
            <family val="2"/>
          </rPr>
          <t xml:space="preserve">
estimated rom our egg data set for C. galbinifrons</t>
        </r>
      </text>
    </comment>
    <comment ref="J1327" authorId="752" shapeId="0" xr:uid="{00000000-0006-0000-0000-00001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12400, cell value is SBM + Clutch Mass.</t>
        </r>
      </text>
    </comment>
    <comment ref="P1328" authorId="10" shapeId="0" xr:uid="{00000000-0006-0000-0000-000014060000}">
      <text>
        <r>
          <rPr>
            <b/>
            <sz val="9"/>
            <color indexed="81"/>
            <rFont val="Arial"/>
            <family val="2"/>
          </rPr>
          <t>John Iverson:</t>
        </r>
        <r>
          <rPr>
            <sz val="9"/>
            <color indexed="81"/>
            <rFont val="Arial"/>
            <family val="2"/>
          </rPr>
          <t xml:space="preserve">
estimated from our egg data set</t>
        </r>
      </text>
    </comment>
    <comment ref="J1329" authorId="10" shapeId="0" xr:uid="{00000000-0006-0000-0000-000015060000}">
      <text>
        <r>
          <rPr>
            <b/>
            <sz val="9"/>
            <color indexed="81"/>
            <rFont val="Arial"/>
            <family val="2"/>
          </rPr>
          <t>John Iverson:</t>
        </r>
        <r>
          <rPr>
            <sz val="9"/>
            <color indexed="81"/>
            <rFont val="Arial"/>
            <family val="2"/>
          </rPr>
          <t xml:space="preserve">
estimated from RCM reported in paper</t>
        </r>
      </text>
    </comment>
    <comment ref="P1329" authorId="10" shapeId="0" xr:uid="{00000000-0006-0000-0000-000016060000}">
      <text>
        <r>
          <rPr>
            <b/>
            <sz val="9"/>
            <color indexed="81"/>
            <rFont val="Arial"/>
            <family val="2"/>
          </rPr>
          <t>John Iverson:</t>
        </r>
        <r>
          <rPr>
            <sz val="9"/>
            <color indexed="81"/>
            <rFont val="Arial"/>
            <family val="2"/>
          </rPr>
          <t xml:space="preserve">
estimated from our egg data set for Pangshura tentoria</t>
        </r>
      </text>
    </comment>
    <comment ref="S1329" authorId="753" shapeId="0" xr:uid="{00000000-0006-0000-0000-000017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T1329" authorId="7" shapeId="0" xr:uid="{00000000-0006-0000-0000-000018060000}">
      <text>
        <r>
          <rPr>
            <b/>
            <sz val="9"/>
            <color indexed="81"/>
            <rFont val="Tahoma"/>
            <family val="2"/>
          </rPr>
          <t>JEnnen:</t>
        </r>
        <r>
          <rPr>
            <sz val="9"/>
            <color indexed="81"/>
            <rFont val="Tahoma"/>
            <family val="2"/>
          </rPr>
          <t xml:space="preserve">
1-2 reported</t>
        </r>
      </text>
    </comment>
    <comment ref="I1330" authorId="10" shapeId="0" xr:uid="{00000000-0006-0000-0000-000019060000}">
      <text>
        <r>
          <rPr>
            <b/>
            <sz val="9"/>
            <color indexed="81"/>
            <rFont val="Arial"/>
            <family val="2"/>
          </rPr>
          <t>John Iverson:</t>
        </r>
        <r>
          <rPr>
            <sz val="9"/>
            <color indexed="81"/>
            <rFont val="Arial"/>
            <family val="2"/>
          </rPr>
          <t xml:space="preserve">
PL = 18.61; PL/CL = 0.9695 based on Moll 1987</t>
        </r>
      </text>
    </comment>
    <comment ref="P1331" authorId="10" shapeId="0" xr:uid="{00000000-0006-0000-0000-00001A060000}">
      <text>
        <r>
          <rPr>
            <b/>
            <sz val="9"/>
            <color indexed="81"/>
            <rFont val="Arial"/>
            <family val="2"/>
          </rPr>
          <t>John Iverson:</t>
        </r>
        <r>
          <rPr>
            <sz val="9"/>
            <color indexed="81"/>
            <rFont val="Arial"/>
            <family val="2"/>
          </rPr>
          <t xml:space="preserve">
estimated from our egg data set</t>
        </r>
      </text>
    </comment>
    <comment ref="G1333" authorId="754" shapeId="0" xr:uid="{00000000-0006-0000-0000-00001B060000}">
      <text>
        <r>
          <rPr>
            <sz val="10"/>
            <color rgb="FF000000"/>
            <rFont val="Arial"/>
            <family val="2"/>
          </rPr>
          <t xml:space="preserve">
Comment:
    estimated ca. 24</t>
        </r>
      </text>
    </comment>
    <comment ref="L1333" authorId="10" shapeId="0" xr:uid="{00000000-0006-0000-0000-00001C060000}">
      <text>
        <r>
          <rPr>
            <b/>
            <sz val="9"/>
            <color indexed="81"/>
            <rFont val="Arial"/>
            <family val="2"/>
          </rPr>
          <t>John Iverson:</t>
        </r>
        <r>
          <rPr>
            <sz val="9"/>
            <color indexed="81"/>
            <rFont val="Arial"/>
            <family val="2"/>
          </rPr>
          <t xml:space="preserve">
"5-6"</t>
        </r>
      </text>
    </comment>
    <comment ref="L1335" authorId="7" shapeId="0" xr:uid="{00000000-0006-0000-0000-00001D060000}">
      <text>
        <r>
          <rPr>
            <b/>
            <sz val="9"/>
            <color indexed="81"/>
            <rFont val="Tahoma"/>
            <family val="2"/>
          </rPr>
          <t>JEnnen:</t>
        </r>
        <r>
          <rPr>
            <sz val="9"/>
            <color indexed="81"/>
            <rFont val="Tahoma"/>
            <family val="2"/>
          </rPr>
          <t xml:space="preserve">
5-8</t>
        </r>
      </text>
    </comment>
    <comment ref="P1335" authorId="10" shapeId="0" xr:uid="{00000000-0006-0000-0000-00001E060000}">
      <text>
        <r>
          <rPr>
            <b/>
            <sz val="9"/>
            <color indexed="81"/>
            <rFont val="Arial"/>
            <family val="2"/>
          </rPr>
          <t>John Iverson:</t>
        </r>
        <r>
          <rPr>
            <sz val="9"/>
            <color indexed="81"/>
            <rFont val="Arial"/>
            <family val="2"/>
          </rPr>
          <t xml:space="preserve">
estimated from our egg data set for M. mutica</t>
        </r>
      </text>
    </comment>
    <comment ref="G1337" authorId="755" shapeId="0" xr:uid="{00000000-0006-0000-0000-00001F060000}">
      <text>
        <r>
          <rPr>
            <sz val="10"/>
            <color rgb="FF000000"/>
            <rFont val="Arial"/>
            <family val="2"/>
          </rPr>
          <t xml:space="preserve">
Comment:
    estimated ca. 26</t>
        </r>
      </text>
    </comment>
    <comment ref="G1338" authorId="756" shapeId="0" xr:uid="{00000000-0006-0000-0000-000020060000}">
      <text>
        <r>
          <rPr>
            <sz val="10"/>
            <color rgb="FF000000"/>
            <rFont val="Arial"/>
            <family val="2"/>
          </rPr>
          <t xml:space="preserve">
Comment:
    estimated ca. 26</t>
        </r>
      </text>
    </comment>
    <comment ref="L1340" authorId="7" shapeId="0" xr:uid="{00000000-0006-0000-0000-000021060000}">
      <text>
        <r>
          <rPr>
            <b/>
            <sz val="9"/>
            <color indexed="81"/>
            <rFont val="Tahoma"/>
            <family val="2"/>
          </rPr>
          <t>JEnnen:</t>
        </r>
        <r>
          <rPr>
            <sz val="9"/>
            <color indexed="81"/>
            <rFont val="Tahoma"/>
            <family val="2"/>
          </rPr>
          <t xml:space="preserve">
6-8
</t>
        </r>
      </text>
    </comment>
    <comment ref="I1342" authorId="10" shapeId="0" xr:uid="{00000000-0006-0000-0000-000022060000}">
      <text>
        <r>
          <rPr>
            <b/>
            <sz val="9"/>
            <color indexed="81"/>
            <rFont val="Arial"/>
            <family val="2"/>
          </rPr>
          <t>John Iverson:</t>
        </r>
        <r>
          <rPr>
            <sz val="9"/>
            <color indexed="81"/>
            <rFont val="Arial"/>
            <family val="2"/>
          </rPr>
          <t xml:space="preserve">
PL = 16.41; PL/CL = 0.9503 from Moll 1987</t>
        </r>
      </text>
    </comment>
    <comment ref="P1343" authorId="10" shapeId="0" xr:uid="{00000000-0006-0000-0000-000023060000}">
      <text>
        <r>
          <rPr>
            <b/>
            <sz val="9"/>
            <color indexed="81"/>
            <rFont val="Arial"/>
            <family val="2"/>
          </rPr>
          <t>John Iverson:</t>
        </r>
        <r>
          <rPr>
            <sz val="9"/>
            <color indexed="81"/>
            <rFont val="Arial"/>
            <family val="2"/>
          </rPr>
          <t xml:space="preserve">
estimated from our egg data set</t>
        </r>
      </text>
    </comment>
    <comment ref="J1345" authorId="757" shapeId="0" xr:uid="{00000000-0006-0000-0000-000024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spent RCM value reported in paper after addition of CM to get gravid BM</t>
        </r>
      </text>
    </comment>
    <comment ref="G1346" authorId="758" shapeId="0" xr:uid="{00000000-0006-0000-0000-000025060000}">
      <text>
        <r>
          <rPr>
            <sz val="10"/>
            <color rgb="FF000000"/>
            <rFont val="Arial"/>
            <family val="2"/>
          </rPr>
          <t xml:space="preserve">
Comment:
    estimated ca. 24</t>
        </r>
      </text>
    </comment>
    <comment ref="L1346" authorId="10" shapeId="0" xr:uid="{00000000-0006-0000-0000-000026060000}">
      <text>
        <r>
          <rPr>
            <b/>
            <sz val="9"/>
            <color indexed="81"/>
            <rFont val="Arial"/>
            <family val="2"/>
          </rPr>
          <t>John Iverson:</t>
        </r>
        <r>
          <rPr>
            <sz val="9"/>
            <color indexed="81"/>
            <rFont val="Arial"/>
            <family val="2"/>
          </rPr>
          <t xml:space="preserve">
"8-14"</t>
        </r>
      </text>
    </comment>
    <comment ref="G1348" authorId="759" shapeId="0" xr:uid="{00000000-0006-0000-0000-000027060000}">
      <text>
        <r>
          <rPr>
            <sz val="10"/>
            <color rgb="FF000000"/>
            <rFont val="Arial"/>
            <family val="2"/>
          </rPr>
          <t xml:space="preserve">
Comment:
    estimated ca. 27</t>
        </r>
      </text>
    </comment>
    <comment ref="P1348" authorId="10" shapeId="0" xr:uid="{00000000-0006-0000-0000-000028060000}">
      <text>
        <r>
          <rPr>
            <b/>
            <sz val="9"/>
            <color indexed="81"/>
            <rFont val="Arial"/>
            <family val="2"/>
          </rPr>
          <t>John Iverson:</t>
        </r>
        <r>
          <rPr>
            <sz val="9"/>
            <color indexed="81"/>
            <rFont val="Arial"/>
            <family val="2"/>
          </rPr>
          <t xml:space="preserve">
estimated from our egg data set for P. tentoria</t>
        </r>
      </text>
    </comment>
    <comment ref="L1349" authorId="10" shapeId="0" xr:uid="{00000000-0006-0000-0000-000029060000}">
      <text>
        <r>
          <rPr>
            <b/>
            <sz val="9"/>
            <color indexed="81"/>
            <rFont val="Arial"/>
            <family val="2"/>
          </rPr>
          <t>John Iverson:</t>
        </r>
        <r>
          <rPr>
            <sz val="9"/>
            <color indexed="81"/>
            <rFont val="Arial"/>
            <family val="2"/>
          </rPr>
          <t xml:space="preserve">
"6 or 7"</t>
        </r>
      </text>
    </comment>
    <comment ref="P1349" authorId="10" shapeId="0" xr:uid="{00000000-0006-0000-0000-00002A060000}">
      <text>
        <r>
          <rPr>
            <b/>
            <sz val="9"/>
            <color indexed="81"/>
            <rFont val="Arial"/>
            <family val="2"/>
          </rPr>
          <t>John Iverson:</t>
        </r>
        <r>
          <rPr>
            <sz val="9"/>
            <color indexed="81"/>
            <rFont val="Arial"/>
            <family val="2"/>
          </rPr>
          <t xml:space="preserve">
"18 to 20"</t>
        </r>
      </text>
    </comment>
    <comment ref="J1350" authorId="760" shapeId="0" xr:uid="{00000000-0006-0000-0000-00002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1560, cell value is SBM + Clutch Mass.</t>
        </r>
      </text>
    </comment>
    <comment ref="G1352" authorId="761" shapeId="0" xr:uid="{00000000-0006-0000-0000-00002C060000}">
      <text>
        <r>
          <rPr>
            <sz val="10"/>
            <color rgb="FF000000"/>
            <rFont val="Arial"/>
            <family val="2"/>
          </rPr>
          <t xml:space="preserve">
Comment:
    National Chambal Sanctuary is 600 km long, so estimate lat from roughly center of the river system</t>
        </r>
      </text>
    </comment>
    <comment ref="J1352" authorId="762" shapeId="0" xr:uid="{00000000-0006-0000-0000-00002D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Estimated from calculations in Moll (1987. J. Bombay Nat. Hist. Soc. 84:7-25)</t>
        </r>
      </text>
    </comment>
    <comment ref="G1353" authorId="763" shapeId="0" xr:uid="{00000000-0006-0000-0000-00002E060000}">
      <text>
        <r>
          <rPr>
            <sz val="10"/>
            <color rgb="FF000000"/>
            <rFont val="Arial"/>
            <family val="2"/>
          </rPr>
          <t xml:space="preserve">
Comment:
    estimated ca. 24</t>
        </r>
      </text>
    </comment>
    <comment ref="L1353" authorId="10" shapeId="0" xr:uid="{00000000-0006-0000-0000-00002F060000}">
      <text>
        <r>
          <rPr>
            <b/>
            <sz val="9"/>
            <color indexed="81"/>
            <rFont val="Arial"/>
            <family val="2"/>
          </rPr>
          <t>John Iverson:</t>
        </r>
        <r>
          <rPr>
            <sz val="9"/>
            <color indexed="81"/>
            <rFont val="Arial"/>
            <family val="2"/>
          </rPr>
          <t xml:space="preserve">
"4-8"</t>
        </r>
      </text>
    </comment>
    <comment ref="L1356" authorId="7" shapeId="0" xr:uid="{00000000-0006-0000-0000-000030060000}">
      <text>
        <r>
          <rPr>
            <b/>
            <sz val="9"/>
            <color indexed="81"/>
            <rFont val="Tahoma"/>
            <family val="2"/>
          </rPr>
          <t>JEnnen:</t>
        </r>
        <r>
          <rPr>
            <sz val="9"/>
            <color indexed="81"/>
            <rFont val="Tahoma"/>
            <family val="2"/>
          </rPr>
          <t xml:space="preserve">
1-2</t>
        </r>
      </text>
    </comment>
    <comment ref="P1356" authorId="11" shapeId="0" xr:uid="{00000000-0006-0000-0000-000031060000}">
      <text>
        <r>
          <rPr>
            <b/>
            <sz val="9"/>
            <color indexed="81"/>
            <rFont val="Tahoma"/>
            <family val="2"/>
          </rPr>
          <t>TNACI:</t>
        </r>
        <r>
          <rPr>
            <sz val="9"/>
            <color indexed="81"/>
            <rFont val="Tahoma"/>
            <family val="2"/>
          </rPr>
          <t xml:space="preserve">
estimated from EM = 0.569EL + 0.478EW - 8.953 Iverson unpublished data</t>
        </r>
      </text>
    </comment>
    <comment ref="L1357" authorId="7" shapeId="0" xr:uid="{00000000-0006-0000-0000-000032060000}">
      <text>
        <r>
          <rPr>
            <b/>
            <sz val="9"/>
            <color indexed="81"/>
            <rFont val="Tahoma"/>
            <family val="2"/>
          </rPr>
          <t>JEnnen:</t>
        </r>
        <r>
          <rPr>
            <sz val="9"/>
            <color indexed="81"/>
            <rFont val="Tahoma"/>
            <family val="2"/>
          </rPr>
          <t xml:space="preserve">
1-2</t>
        </r>
      </text>
    </comment>
    <comment ref="P1357" authorId="11" shapeId="0" xr:uid="{00000000-0006-0000-0000-000033060000}">
      <text>
        <r>
          <rPr>
            <b/>
            <sz val="9"/>
            <color indexed="81"/>
            <rFont val="Tahoma"/>
            <family val="2"/>
          </rPr>
          <t>TNACI:</t>
        </r>
        <r>
          <rPr>
            <sz val="9"/>
            <color indexed="81"/>
            <rFont val="Tahoma"/>
            <family val="2"/>
          </rPr>
          <t xml:space="preserve">
estimated from EM = 0.569EL + 0.478EW - 8.953 Iverson unpublished data</t>
        </r>
      </text>
    </comment>
    <comment ref="G1358" authorId="764" shapeId="0" xr:uid="{00000000-0006-0000-0000-000034060000}">
      <text>
        <r>
          <rPr>
            <sz val="10"/>
            <color rgb="FF000000"/>
            <rFont val="Arial"/>
            <family val="2"/>
          </rPr>
          <t xml:space="preserve">
Comment:
    estimated ca. 8</t>
        </r>
      </text>
    </comment>
    <comment ref="J1358" authorId="765" shapeId="0" xr:uid="{00000000-0006-0000-0000-000035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BM-CL regression dataset from Mittermeier 1971 (Aug 2020)</t>
        </r>
      </text>
    </comment>
    <comment ref="L1360" authorId="7" shapeId="0" xr:uid="{00000000-0006-0000-0000-000036060000}">
      <text>
        <r>
          <rPr>
            <b/>
            <sz val="9"/>
            <color indexed="81"/>
            <rFont val="Tahoma"/>
            <family val="2"/>
          </rPr>
          <t>JEnnen:</t>
        </r>
        <r>
          <rPr>
            <sz val="9"/>
            <color indexed="81"/>
            <rFont val="Tahoma"/>
            <family val="2"/>
          </rPr>
          <t xml:space="preserve">
1-2</t>
        </r>
      </text>
    </comment>
    <comment ref="P1360" authorId="11" shapeId="0" xr:uid="{00000000-0006-0000-0000-000037060000}">
      <text>
        <r>
          <rPr>
            <b/>
            <sz val="9"/>
            <color indexed="81"/>
            <rFont val="Tahoma"/>
            <family val="2"/>
          </rPr>
          <t>TNACI:</t>
        </r>
        <r>
          <rPr>
            <sz val="9"/>
            <color indexed="81"/>
            <rFont val="Tahoma"/>
            <family val="2"/>
          </rPr>
          <t xml:space="preserve">
estiamted from EM = 0.569EL + 0.478EW - 8.953 Iverson unpublished data</t>
        </r>
      </text>
    </comment>
    <comment ref="L1362" authorId="10" shapeId="0" xr:uid="{00000000-0006-0000-0000-000038060000}">
      <text>
        <r>
          <rPr>
            <b/>
            <sz val="9"/>
            <color indexed="81"/>
            <rFont val="Arial"/>
            <family val="2"/>
          </rPr>
          <t>John Iverson:</t>
        </r>
        <r>
          <rPr>
            <sz val="9"/>
            <color indexed="81"/>
            <rFont val="Arial"/>
            <family val="2"/>
          </rPr>
          <t xml:space="preserve">
1-2; usually 1</t>
        </r>
      </text>
    </comment>
    <comment ref="F1363" authorId="766" shapeId="0" xr:uid="{00000000-0006-0000-0000-000039060000}">
      <text>
        <r>
          <rPr>
            <sz val="10"/>
            <color rgb="FF000000"/>
            <rFont val="Arial"/>
            <family val="2"/>
          </rPr>
          <t xml:space="preserve">
Comment:
    (Belize)</t>
        </r>
      </text>
    </comment>
    <comment ref="F1364" authorId="767" shapeId="0" xr:uid="{00000000-0006-0000-0000-00003A060000}">
      <text>
        <r>
          <rPr>
            <sz val="10"/>
            <color rgb="FF000000"/>
            <rFont val="Arial"/>
            <family val="2"/>
          </rPr>
          <t xml:space="preserve">
Comment:
    in Oaxaca</t>
        </r>
      </text>
    </comment>
    <comment ref="K1364" authorId="7" shapeId="0" xr:uid="{00000000-0006-0000-0000-00003B060000}">
      <text>
        <r>
          <rPr>
            <b/>
            <sz val="9"/>
            <color indexed="81"/>
            <rFont val="Tahoma"/>
            <family val="2"/>
          </rPr>
          <t>JEnnen:</t>
        </r>
        <r>
          <rPr>
            <sz val="9"/>
            <color indexed="81"/>
            <rFont val="Tahoma"/>
            <family val="2"/>
          </rPr>
          <t xml:space="preserve">
9-10 reported</t>
        </r>
      </text>
    </comment>
    <comment ref="J1367" authorId="10" shapeId="0" xr:uid="{00000000-0006-0000-0000-00003C060000}">
      <text>
        <r>
          <rPr>
            <b/>
            <sz val="9"/>
            <color indexed="81"/>
            <rFont val="Arial"/>
            <family val="2"/>
          </rPr>
          <t>John Iverson:</t>
        </r>
        <r>
          <rPr>
            <sz val="9"/>
            <color indexed="81"/>
            <rFont val="Arial"/>
            <family val="2"/>
          </rPr>
          <t xml:space="preserve">
estimated from BM-CL data for M. trijuga from Paul Crow pers. communication</t>
        </r>
      </text>
    </comment>
    <comment ref="P1367" authorId="10" shapeId="0" xr:uid="{00000000-0006-0000-0000-00003D060000}">
      <text>
        <r>
          <rPr>
            <b/>
            <sz val="9"/>
            <color indexed="81"/>
            <rFont val="Arial"/>
            <family val="2"/>
          </rPr>
          <t>John Iverson:</t>
        </r>
        <r>
          <rPr>
            <sz val="9"/>
            <color indexed="81"/>
            <rFont val="Arial"/>
            <family val="2"/>
          </rPr>
          <t xml:space="preserve">
estimated from our egg data set for R. melanosterna</t>
        </r>
      </text>
    </comment>
    <comment ref="P1368" authorId="768" shapeId="0" xr:uid="{00000000-0006-0000-0000-00003E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M. melanosterna (oct 2020)</t>
        </r>
      </text>
    </comment>
    <comment ref="J1369" authorId="769" shapeId="0" xr:uid="{00000000-0006-0000-0000-00003F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R. nasuta (Giraldo et al. 2012)</t>
        </r>
      </text>
    </comment>
    <comment ref="J1370" authorId="770" shapeId="0" xr:uid="{00000000-0006-0000-0000-00004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R. nasuta (Giraldo et al. 2012)</t>
        </r>
      </text>
    </comment>
    <comment ref="L1370" authorId="7" shapeId="0" xr:uid="{00000000-0006-0000-0000-000041060000}">
      <text>
        <r>
          <rPr>
            <b/>
            <sz val="9"/>
            <color indexed="81"/>
            <rFont val="Tahoma"/>
            <family val="2"/>
          </rPr>
          <t>JEnnen:</t>
        </r>
        <r>
          <rPr>
            <sz val="9"/>
            <color indexed="81"/>
            <rFont val="Tahoma"/>
            <family val="2"/>
          </rPr>
          <t xml:space="preserve">
1-3</t>
        </r>
      </text>
    </comment>
    <comment ref="P1370" authorId="771" shapeId="0" xr:uid="{00000000-0006-0000-0000-00004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Rhinoclemmys areolata (Dec 2020)</t>
        </r>
      </text>
    </comment>
    <comment ref="G1371" authorId="772" shapeId="0" xr:uid="{00000000-0006-0000-0000-000043060000}">
      <text>
        <r>
          <rPr>
            <sz val="10"/>
            <color rgb="FF000000"/>
            <rFont val="Arial"/>
            <family val="2"/>
          </rPr>
          <t xml:space="preserve">
Comment:
    estimated ca 10</t>
        </r>
      </text>
    </comment>
    <comment ref="J1371" authorId="773" shapeId="0" xr:uid="{00000000-0006-0000-0000-000044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P1372" authorId="10" shapeId="0" xr:uid="{00000000-0006-0000-0000-000045060000}">
      <text>
        <r>
          <rPr>
            <b/>
            <sz val="9"/>
            <color indexed="81"/>
            <rFont val="Arial"/>
            <family val="2"/>
          </rPr>
          <t>John Iverson:</t>
        </r>
        <r>
          <rPr>
            <sz val="9"/>
            <color indexed="81"/>
            <rFont val="Arial"/>
            <family val="2"/>
          </rPr>
          <t xml:space="preserve">
estimated from our egg data set for R. punctularia</t>
        </r>
      </text>
    </comment>
    <comment ref="J1373" authorId="774" shapeId="0" xr:uid="{00000000-0006-0000-0000-000046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P1373" authorId="10" shapeId="0" xr:uid="{00000000-0006-0000-0000-000047060000}">
      <text>
        <r>
          <rPr>
            <b/>
            <sz val="9"/>
            <color indexed="81"/>
            <rFont val="Arial"/>
            <family val="2"/>
          </rPr>
          <t>John Iverson:</t>
        </r>
        <r>
          <rPr>
            <sz val="9"/>
            <color indexed="81"/>
            <rFont val="Arial"/>
            <family val="2"/>
          </rPr>
          <t xml:space="preserve">
estimated from our egg data set for R. punctularia</t>
        </r>
      </text>
    </comment>
    <comment ref="T1373" authorId="7" shapeId="0" xr:uid="{00000000-0006-0000-0000-000048060000}">
      <text>
        <r>
          <rPr>
            <b/>
            <sz val="9"/>
            <color indexed="81"/>
            <rFont val="Tahoma"/>
            <family val="2"/>
          </rPr>
          <t>JEnnen:</t>
        </r>
        <r>
          <rPr>
            <sz val="9"/>
            <color indexed="81"/>
            <rFont val="Tahoma"/>
            <family val="2"/>
          </rPr>
          <t xml:space="preserve">
2-3 reported</t>
        </r>
      </text>
    </comment>
    <comment ref="P1376" authorId="10" shapeId="0" xr:uid="{00000000-0006-0000-0000-000049060000}">
      <text>
        <r>
          <rPr>
            <b/>
            <sz val="9"/>
            <color indexed="81"/>
            <rFont val="Arial"/>
            <family val="2"/>
          </rPr>
          <t>John Iverson:</t>
        </r>
        <r>
          <rPr>
            <sz val="9"/>
            <color indexed="81"/>
            <rFont val="Arial"/>
            <family val="2"/>
          </rPr>
          <t xml:space="preserve">
estimated from our egg data set for R. punctularia</t>
        </r>
      </text>
    </comment>
    <comment ref="T1376" authorId="7" shapeId="0" xr:uid="{00000000-0006-0000-0000-00004A060000}">
      <text>
        <r>
          <rPr>
            <b/>
            <sz val="9"/>
            <color indexed="81"/>
            <rFont val="Tahoma"/>
            <family val="2"/>
          </rPr>
          <t>JEnnen:</t>
        </r>
        <r>
          <rPr>
            <sz val="9"/>
            <color indexed="81"/>
            <rFont val="Tahoma"/>
            <family val="2"/>
          </rPr>
          <t xml:space="preserve">
1-4 reported</t>
        </r>
      </text>
    </comment>
    <comment ref="J1378" authorId="775" shapeId="0" xr:uid="{00000000-0006-0000-0000-00004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P1378" authorId="10" shapeId="0" xr:uid="{00000000-0006-0000-0000-00004C060000}">
      <text>
        <r>
          <rPr>
            <b/>
            <sz val="9"/>
            <color indexed="81"/>
            <rFont val="Arial"/>
            <family val="2"/>
          </rPr>
          <t>John Iverson:</t>
        </r>
        <r>
          <rPr>
            <sz val="9"/>
            <color indexed="81"/>
            <rFont val="Arial"/>
            <family val="2"/>
          </rPr>
          <t xml:space="preserve">
estimated from our egg data set for R. punctularia</t>
        </r>
      </text>
    </comment>
    <comment ref="L1379" authorId="7" shapeId="0" xr:uid="{00000000-0006-0000-0000-00004D060000}">
      <text>
        <r>
          <rPr>
            <b/>
            <sz val="9"/>
            <color indexed="81"/>
            <rFont val="Tahoma"/>
            <family val="2"/>
          </rPr>
          <t>JEnnen:</t>
        </r>
        <r>
          <rPr>
            <sz val="9"/>
            <color indexed="81"/>
            <rFont val="Tahoma"/>
            <family val="2"/>
          </rPr>
          <t xml:space="preserve">
1-2
</t>
        </r>
      </text>
    </comment>
    <comment ref="G1380" authorId="776" shapeId="0" xr:uid="{00000000-0006-0000-0000-00004E060000}">
      <text>
        <r>
          <rPr>
            <sz val="10"/>
            <color rgb="FF000000"/>
            <rFont val="Arial"/>
            <family val="2"/>
          </rPr>
          <t xml:space="preserve">
Comment:
    estimated ca. 6</t>
        </r>
      </text>
    </comment>
    <comment ref="J1380" authorId="10" shapeId="0" xr:uid="{00000000-0006-0000-0000-00004F060000}">
      <text>
        <r>
          <rPr>
            <b/>
            <sz val="9"/>
            <color indexed="81"/>
            <rFont val="Arial"/>
            <family val="2"/>
          </rPr>
          <t>John Iverson:</t>
        </r>
        <r>
          <rPr>
            <sz val="9"/>
            <color indexed="81"/>
            <rFont val="Arial"/>
            <family val="2"/>
          </rPr>
          <t xml:space="preserve">
estimated from BM-CL data in Giraldo et al 2012 fro R. nasuta</t>
        </r>
      </text>
    </comment>
    <comment ref="P1380" authorId="777" shapeId="0" xr:uid="{00000000-0006-0000-0000-00005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J1381" authorId="778" shapeId="0" xr:uid="{00000000-0006-0000-0000-000051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2700, cell value is SBM + Clutch Mass.</t>
        </r>
      </text>
    </comment>
    <comment ref="P1382" authorId="11" shapeId="0" xr:uid="{00000000-0006-0000-0000-000052060000}">
      <text>
        <r>
          <rPr>
            <b/>
            <sz val="9"/>
            <color indexed="81"/>
            <rFont val="Tahoma"/>
            <family val="2"/>
          </rPr>
          <t>TNACI:</t>
        </r>
        <r>
          <rPr>
            <sz val="9"/>
            <color indexed="81"/>
            <rFont val="Tahoma"/>
            <family val="2"/>
          </rPr>
          <t xml:space="preserve">
estimated from EM = 1.285EL + 1.860EW - 92.395 Iverson unpublished data</t>
        </r>
      </text>
    </comment>
    <comment ref="J1383" authorId="10" shapeId="0" xr:uid="{00000000-0006-0000-0000-000053060000}">
      <text>
        <r>
          <rPr>
            <b/>
            <sz val="9"/>
            <color indexed="81"/>
            <rFont val="Arial"/>
            <family val="2"/>
          </rPr>
          <t>John Iverson:</t>
        </r>
        <r>
          <rPr>
            <sz val="9"/>
            <color indexed="81"/>
            <rFont val="Arial"/>
            <family val="2"/>
          </rPr>
          <t xml:space="preserve">
estimated from BM-CL data in Giraldo et al 2012 fro R. nasuta</t>
        </r>
      </text>
    </comment>
    <comment ref="J1384" authorId="779" shapeId="0" xr:uid="{00000000-0006-0000-0000-000054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Giraldo et al. 2012 (Aug 2020)</t>
        </r>
      </text>
    </comment>
    <comment ref="J1385" authorId="10" shapeId="0" xr:uid="{00000000-0006-0000-0000-000055060000}">
      <text>
        <r>
          <rPr>
            <b/>
            <sz val="9"/>
            <color indexed="81"/>
            <rFont val="Arial"/>
            <family val="2"/>
          </rPr>
          <t>John Iverson:</t>
        </r>
        <r>
          <rPr>
            <sz val="9"/>
            <color indexed="81"/>
            <rFont val="Arial"/>
            <family val="2"/>
          </rPr>
          <t xml:space="preserve">
estimated from BM-CL data in Giraldo et al. 2012</t>
        </r>
      </text>
    </comment>
    <comment ref="J1387" authorId="10" shapeId="0" xr:uid="{00000000-0006-0000-0000-000056060000}">
      <text>
        <r>
          <rPr>
            <b/>
            <sz val="9"/>
            <color indexed="81"/>
            <rFont val="Arial"/>
            <family val="2"/>
          </rPr>
          <t>John Iverson:</t>
        </r>
        <r>
          <rPr>
            <sz val="9"/>
            <color indexed="81"/>
            <rFont val="Arial"/>
            <family val="2"/>
          </rPr>
          <t xml:space="preserve">
estimated from BM-CL data in paper</t>
        </r>
      </text>
    </comment>
    <comment ref="G1389" authorId="780" shapeId="0" xr:uid="{00000000-0006-0000-0000-000057060000}">
      <text>
        <r>
          <rPr>
            <sz val="10"/>
            <color rgb="FF000000"/>
            <rFont val="Arial"/>
            <family val="2"/>
          </rPr>
          <t xml:space="preserve">
Comment:
    estimated ca. 5</t>
        </r>
      </text>
    </comment>
    <comment ref="J1389" authorId="10" shapeId="0" xr:uid="{00000000-0006-0000-0000-000058060000}">
      <text>
        <r>
          <rPr>
            <b/>
            <sz val="9"/>
            <color indexed="81"/>
            <rFont val="Arial"/>
            <family val="2"/>
          </rPr>
          <t>John Iverson:</t>
        </r>
        <r>
          <rPr>
            <sz val="9"/>
            <color indexed="81"/>
            <rFont val="Arial"/>
            <family val="2"/>
          </rPr>
          <t xml:space="preserve">
estimated from BM-CL data in Giraldo et al. 2012</t>
        </r>
      </text>
    </comment>
    <comment ref="P1389" authorId="10" shapeId="0" xr:uid="{00000000-0006-0000-0000-000059060000}">
      <text>
        <r>
          <rPr>
            <b/>
            <sz val="9"/>
            <color indexed="81"/>
            <rFont val="Arial"/>
            <family val="2"/>
          </rPr>
          <t>John Iverson:</t>
        </r>
        <r>
          <rPr>
            <sz val="9"/>
            <color indexed="81"/>
            <rFont val="Arial"/>
            <family val="2"/>
          </rPr>
          <t xml:space="preserve">
estimated frmo our egg data set for R. melanosterna</t>
        </r>
      </text>
    </comment>
    <comment ref="J1390" authorId="781" shapeId="0" xr:uid="{00000000-0006-0000-0000-00005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in Giraldo et al. 2012 (Aug 2020)</t>
        </r>
      </text>
    </comment>
    <comment ref="P1391" authorId="10" shapeId="0" xr:uid="{00000000-0006-0000-0000-00005B060000}">
      <text>
        <r>
          <rPr>
            <b/>
            <sz val="9"/>
            <color indexed="81"/>
            <rFont val="Arial"/>
            <family val="2"/>
          </rPr>
          <t>John Iverson:</t>
        </r>
        <r>
          <rPr>
            <sz val="9"/>
            <color indexed="81"/>
            <rFont val="Arial"/>
            <family val="2"/>
          </rPr>
          <t xml:space="preserve">
estimated frmo our egg data set for R. melanosterna</t>
        </r>
      </text>
    </comment>
    <comment ref="L1392" authorId="7" shapeId="0" xr:uid="{00000000-0006-0000-0000-00005C060000}">
      <text>
        <r>
          <rPr>
            <b/>
            <sz val="9"/>
            <color indexed="81"/>
            <rFont val="Tahoma"/>
            <family val="2"/>
          </rPr>
          <t>JEnnen:</t>
        </r>
        <r>
          <rPr>
            <sz val="9"/>
            <color indexed="81"/>
            <rFont val="Tahoma"/>
            <family val="2"/>
          </rPr>
          <t xml:space="preserve">
1-5</t>
        </r>
      </text>
    </comment>
    <comment ref="P1392" authorId="11" shapeId="0" xr:uid="{00000000-0006-0000-0000-00005D060000}">
      <text>
        <r>
          <rPr>
            <b/>
            <sz val="9"/>
            <color indexed="81"/>
            <rFont val="Tahoma"/>
            <family val="2"/>
          </rPr>
          <t>TNACI:</t>
        </r>
        <r>
          <rPr>
            <sz val="9"/>
            <color indexed="81"/>
            <rFont val="Tahoma"/>
            <family val="2"/>
          </rPr>
          <t xml:space="preserve">
estimated from EM = 0.545EL + 1.555EW - 46.530 Iverson unpublished data</t>
        </r>
      </text>
    </comment>
    <comment ref="P1393" authorId="10" shapeId="0" xr:uid="{00000000-0006-0000-0000-00005E060000}">
      <text>
        <r>
          <rPr>
            <b/>
            <sz val="9"/>
            <color indexed="81"/>
            <rFont val="Arial"/>
            <family val="2"/>
          </rPr>
          <t>John Iverson:</t>
        </r>
        <r>
          <rPr>
            <sz val="9"/>
            <color indexed="81"/>
            <rFont val="Arial"/>
            <family val="2"/>
          </rPr>
          <t xml:space="preserve">
estimated from our egg data set</t>
        </r>
      </text>
    </comment>
    <comment ref="L1394" authorId="10" shapeId="0" xr:uid="{00000000-0006-0000-0000-00005F060000}">
      <text>
        <r>
          <rPr>
            <b/>
            <sz val="9"/>
            <color indexed="81"/>
            <rFont val="Arial"/>
            <family val="2"/>
          </rPr>
          <t>John Iverson:</t>
        </r>
        <r>
          <rPr>
            <sz val="9"/>
            <color indexed="81"/>
            <rFont val="Arial"/>
            <family val="2"/>
          </rPr>
          <t xml:space="preserve">
"2-5" </t>
        </r>
      </text>
    </comment>
    <comment ref="N1394" authorId="782" shapeId="0" xr:uid="{00000000-0006-0000-0000-00006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39-55 by taking median</t>
        </r>
      </text>
    </comment>
    <comment ref="O1394" authorId="783" shapeId="0" xr:uid="{00000000-0006-0000-0000-000061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23-31</t>
        </r>
      </text>
    </comment>
    <comment ref="T1394" authorId="7" shapeId="0" xr:uid="{00000000-0006-0000-0000-000062060000}">
      <text>
        <r>
          <rPr>
            <b/>
            <sz val="9"/>
            <color indexed="81"/>
            <rFont val="Tahoma"/>
            <family val="2"/>
          </rPr>
          <t>JEnnen:</t>
        </r>
        <r>
          <rPr>
            <sz val="9"/>
            <color indexed="81"/>
            <rFont val="Tahoma"/>
            <family val="2"/>
          </rPr>
          <t xml:space="preserve">
2-3 report</t>
        </r>
      </text>
    </comment>
    <comment ref="J1395" authorId="784" shapeId="0" xr:uid="{00000000-0006-0000-0000-00006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P1395" authorId="11" shapeId="0" xr:uid="{00000000-0006-0000-0000-000064060000}">
      <text>
        <r>
          <rPr>
            <b/>
            <sz val="9"/>
            <color indexed="81"/>
            <rFont val="Tahoma"/>
            <family val="2"/>
          </rPr>
          <t>TNACI:</t>
        </r>
        <r>
          <rPr>
            <sz val="9"/>
            <color indexed="81"/>
            <rFont val="Tahoma"/>
            <family val="2"/>
          </rPr>
          <t xml:space="preserve">
estimated from EM = 0.545EL + 1.555EW - 46.530 Iverson unpublished data</t>
        </r>
      </text>
    </comment>
    <comment ref="J1396" authorId="785" shapeId="0" xr:uid="{00000000-0006-0000-0000-000065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T1397" authorId="7" shapeId="0" xr:uid="{00000000-0006-0000-0000-000066060000}">
      <text>
        <r>
          <rPr>
            <b/>
            <sz val="9"/>
            <color indexed="81"/>
            <rFont val="Tahoma"/>
            <family val="2"/>
          </rPr>
          <t>JEnnen:</t>
        </r>
        <r>
          <rPr>
            <sz val="9"/>
            <color indexed="81"/>
            <rFont val="Tahoma"/>
            <family val="2"/>
          </rPr>
          <t xml:space="preserve">
4-8 reported</t>
        </r>
      </text>
    </comment>
    <comment ref="F1398" authorId="786" shapeId="0" xr:uid="{00000000-0006-0000-0000-000067060000}">
      <text>
        <r>
          <rPr>
            <sz val="10"/>
            <color rgb="FF000000"/>
            <rFont val="Arial"/>
            <family val="2"/>
          </rPr>
          <t xml:space="preserve">
Comment:
    in Oaxaca</t>
        </r>
      </text>
    </comment>
    <comment ref="J1399" authorId="787" shapeId="0" xr:uid="{00000000-0006-0000-0000-000068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J1401" authorId="788" shapeId="0" xr:uid="{00000000-0006-0000-0000-000069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L1401" authorId="10" shapeId="0" xr:uid="{00000000-0006-0000-0000-00006A060000}">
      <text>
        <r>
          <rPr>
            <b/>
            <sz val="9"/>
            <color indexed="81"/>
            <rFont val="Arial"/>
            <family val="2"/>
          </rPr>
          <t>John Iverson:</t>
        </r>
        <r>
          <rPr>
            <sz val="9"/>
            <color indexed="81"/>
            <rFont val="Arial"/>
            <family val="2"/>
          </rPr>
          <t xml:space="preserve">
1-2</t>
        </r>
      </text>
    </comment>
    <comment ref="P1401" authorId="10" shapeId="0" xr:uid="{00000000-0006-0000-0000-00006B060000}">
      <text>
        <r>
          <rPr>
            <b/>
            <sz val="9"/>
            <color indexed="81"/>
            <rFont val="Arial"/>
            <family val="2"/>
          </rPr>
          <t>John Iverson:</t>
        </r>
        <r>
          <rPr>
            <sz val="9"/>
            <color indexed="81"/>
            <rFont val="Arial"/>
            <family val="2"/>
          </rPr>
          <t xml:space="preserve">
estimated from our egg data set</t>
        </r>
      </text>
    </comment>
    <comment ref="I1405" authorId="789" shapeId="0" xr:uid="{00000000-0006-0000-0000-00006C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I1407" authorId="790" shapeId="0" xr:uid="{00000000-0006-0000-0000-00006D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J1408" authorId="10" shapeId="0" xr:uid="{00000000-0006-0000-0000-00006E060000}">
      <text>
        <r>
          <rPr>
            <b/>
            <sz val="9"/>
            <color indexed="81"/>
            <rFont val="Arial"/>
            <family val="2"/>
          </rPr>
          <t>John Iverson:</t>
        </r>
        <r>
          <rPr>
            <sz val="9"/>
            <color indexed="81"/>
            <rFont val="Arial"/>
            <family val="2"/>
          </rPr>
          <t xml:space="preserve">
estimated from post nest mass</t>
        </r>
      </text>
    </comment>
    <comment ref="P1408" authorId="10" shapeId="0" xr:uid="{00000000-0006-0000-0000-00006F060000}">
      <text>
        <r>
          <rPr>
            <b/>
            <sz val="9"/>
            <color indexed="81"/>
            <rFont val="Arial"/>
            <family val="2"/>
          </rPr>
          <t>John Iverson:</t>
        </r>
        <r>
          <rPr>
            <sz val="9"/>
            <color indexed="81"/>
            <rFont val="Arial"/>
            <family val="2"/>
          </rPr>
          <t xml:space="preserve">
estimated from our egg data set</t>
        </r>
      </text>
    </comment>
    <comment ref="J1409" authorId="791" shapeId="0" xr:uid="{00000000-0006-0000-0000-00007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L1410" authorId="7" shapeId="0" xr:uid="{00000000-0006-0000-0000-000071060000}">
      <text>
        <r>
          <rPr>
            <b/>
            <sz val="9"/>
            <color indexed="81"/>
            <rFont val="Tahoma"/>
            <family val="2"/>
          </rPr>
          <t>JEnnen:</t>
        </r>
        <r>
          <rPr>
            <sz val="9"/>
            <color indexed="81"/>
            <rFont val="Tahoma"/>
            <family val="2"/>
          </rPr>
          <t xml:space="preserve">
1-3</t>
        </r>
      </text>
    </comment>
    <comment ref="P1410" authorId="11" shapeId="0" xr:uid="{00000000-0006-0000-0000-000072060000}">
      <text>
        <r>
          <rPr>
            <b/>
            <sz val="9"/>
            <color indexed="81"/>
            <rFont val="Tahoma"/>
            <family val="2"/>
          </rPr>
          <t>TNACI:</t>
        </r>
        <r>
          <rPr>
            <sz val="9"/>
            <color indexed="81"/>
            <rFont val="Tahoma"/>
            <family val="2"/>
          </rPr>
          <t xml:space="preserve">
estimated from EM = 0.204EL + 3.598EW - 87.808 Iverson unpublished data</t>
        </r>
      </text>
    </comment>
    <comment ref="J1411" authorId="792" shapeId="0" xr:uid="{00000000-0006-0000-0000-00007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nasuta from Giraldo et al. 2012</t>
        </r>
      </text>
    </comment>
    <comment ref="J1413" authorId="793" shapeId="0" xr:uid="{00000000-0006-0000-0000-000074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annulata from Mittermeier 1971</t>
        </r>
      </text>
    </comment>
    <comment ref="J1414" authorId="794" shapeId="0" xr:uid="{00000000-0006-0000-0000-000075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annulata from Mittermeier 1971</t>
        </r>
      </text>
    </comment>
    <comment ref="J1415" authorId="795" shapeId="0" xr:uid="{00000000-0006-0000-0000-000076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annulata from Mittermeier 1971</t>
        </r>
      </text>
    </comment>
    <comment ref="J1416" authorId="796" shapeId="0" xr:uid="{00000000-0006-0000-0000-000077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Rhinoclemmys annulata from Mittermeier 1971</t>
        </r>
      </text>
    </comment>
    <comment ref="K1416" authorId="7" shapeId="0" xr:uid="{00000000-0006-0000-0000-000078060000}">
      <text>
        <r>
          <rPr>
            <b/>
            <sz val="9"/>
            <color indexed="81"/>
            <rFont val="Tahoma"/>
            <family val="2"/>
          </rPr>
          <t>JEnnen: 6-7 reported</t>
        </r>
      </text>
    </comment>
    <comment ref="P1416" authorId="10" shapeId="0" xr:uid="{00000000-0006-0000-0000-000079060000}">
      <text>
        <r>
          <rPr>
            <b/>
            <sz val="9"/>
            <color indexed="81"/>
            <rFont val="Arial"/>
            <family val="2"/>
          </rPr>
          <t>John Iverson:</t>
        </r>
        <r>
          <rPr>
            <sz val="9"/>
            <color indexed="81"/>
            <rFont val="Arial"/>
            <family val="2"/>
          </rPr>
          <t xml:space="preserve">
estimated from our egg data set for R. areolata</t>
        </r>
      </text>
    </comment>
    <comment ref="P1418" authorId="797" shapeId="0" xr:uid="{00000000-0006-0000-0000-00007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M. mutica (Aug 2020)</t>
        </r>
      </text>
    </comment>
    <comment ref="J1420" authorId="798" shapeId="0" xr:uid="{00000000-0006-0000-0000-00007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 Hagan (Pers. comm)</t>
        </r>
      </text>
    </comment>
    <comment ref="P1420" authorId="10" shapeId="0" xr:uid="{00000000-0006-0000-0000-00007C060000}">
      <text>
        <r>
          <rPr>
            <b/>
            <sz val="9"/>
            <color indexed="81"/>
            <rFont val="Arial"/>
            <family val="2"/>
          </rPr>
          <t>John Iverson:</t>
        </r>
        <r>
          <rPr>
            <sz val="9"/>
            <color indexed="81"/>
            <rFont val="Arial"/>
            <family val="2"/>
          </rPr>
          <t xml:space="preserve">
estimated from our egg data set for M. mutica</t>
        </r>
      </text>
    </comment>
    <comment ref="L1422" authorId="7" shapeId="0" xr:uid="{00000000-0006-0000-0000-00007D060000}">
      <text>
        <r>
          <rPr>
            <b/>
            <sz val="9"/>
            <color indexed="81"/>
            <rFont val="Tahoma"/>
            <family val="2"/>
          </rPr>
          <t>JEnnen:</t>
        </r>
        <r>
          <rPr>
            <sz val="9"/>
            <color indexed="81"/>
            <rFont val="Tahoma"/>
            <family val="2"/>
          </rPr>
          <t xml:space="preserve">
1-2</t>
        </r>
      </text>
    </comment>
    <comment ref="N1422" authorId="799" shapeId="0" xr:uid="{00000000-0006-0000-0000-00007E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42-52 by taking median</t>
        </r>
      </text>
    </comment>
    <comment ref="O1422" authorId="800" shapeId="0" xr:uid="{00000000-0006-0000-0000-00007F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17-23</t>
        </r>
      </text>
    </comment>
    <comment ref="I1423" authorId="801" shapeId="0" xr:uid="{00000000-0006-0000-0000-00008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C. Hagan (Pers. comm)</t>
        </r>
      </text>
    </comment>
    <comment ref="N1423" authorId="802" shapeId="0" xr:uid="{00000000-0006-0000-0000-000081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42-52 by taking median</t>
        </r>
      </text>
    </comment>
    <comment ref="O1423" authorId="803" shapeId="0" xr:uid="{00000000-0006-0000-0000-00008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17-23</t>
        </r>
      </text>
    </comment>
    <comment ref="L1426" authorId="7" shapeId="0" xr:uid="{00000000-0006-0000-0000-000083060000}">
      <text>
        <r>
          <rPr>
            <b/>
            <sz val="9"/>
            <color indexed="81"/>
            <rFont val="Tahoma"/>
            <family val="2"/>
          </rPr>
          <t>JEnnen:</t>
        </r>
        <r>
          <rPr>
            <sz val="9"/>
            <color indexed="81"/>
            <rFont val="Tahoma"/>
            <family val="2"/>
          </rPr>
          <t xml:space="preserve">
1-2</t>
        </r>
      </text>
    </comment>
    <comment ref="N1426" authorId="804" shapeId="0" xr:uid="{00000000-0006-0000-0000-000084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42-56 by taking median</t>
        </r>
      </text>
    </comment>
    <comment ref="O1426" authorId="805" shapeId="0" xr:uid="{00000000-0006-0000-0000-000085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20-23</t>
        </r>
      </text>
    </comment>
    <comment ref="P1427" authorId="10" shapeId="0" xr:uid="{00000000-0006-0000-0000-000086060000}">
      <text>
        <r>
          <rPr>
            <b/>
            <sz val="9"/>
            <color indexed="81"/>
            <rFont val="Arial"/>
            <family val="2"/>
          </rPr>
          <t>John Iverson:</t>
        </r>
        <r>
          <rPr>
            <sz val="9"/>
            <color indexed="81"/>
            <rFont val="Arial"/>
            <family val="2"/>
          </rPr>
          <t xml:space="preserve">
estimated from our egg data set for M. mutica</t>
        </r>
      </text>
    </comment>
    <comment ref="D1429" authorId="10" shapeId="0" xr:uid="{00000000-0006-0000-0000-000087060000}">
      <text>
        <r>
          <rPr>
            <b/>
            <sz val="9"/>
            <color indexed="81"/>
            <rFont val="Arial"/>
            <family val="2"/>
          </rPr>
          <t>John Iverson:</t>
        </r>
        <r>
          <rPr>
            <sz val="9"/>
            <color indexed="81"/>
            <rFont val="Arial"/>
            <family val="2"/>
          </rPr>
          <t xml:space="preserve">
reported as S. insulensis, which is a synonym of quadriocellata (TTWG)</t>
        </r>
      </text>
    </comment>
    <comment ref="G1429" authorId="10" shapeId="0" xr:uid="{00000000-0006-0000-0000-000088060000}">
      <text>
        <r>
          <rPr>
            <b/>
            <sz val="9"/>
            <color indexed="81"/>
            <rFont val="Arial"/>
            <family val="2"/>
          </rPr>
          <t>John Iverson:</t>
        </r>
        <r>
          <rPr>
            <sz val="9"/>
            <color indexed="81"/>
            <rFont val="Arial"/>
            <family val="2"/>
          </rPr>
          <t xml:space="preserve">
No specific locality on Hainan reported</t>
        </r>
      </text>
    </comment>
    <comment ref="J1430" authorId="806" shapeId="0" xr:uid="{00000000-0006-0000-0000-000089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datasets using Cuora pani from Artner 2006</t>
        </r>
      </text>
    </comment>
    <comment ref="J1431" authorId="807" shapeId="0" xr:uid="{00000000-0006-0000-0000-00008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regressions datasets using Melanochelys trijuga from Rom Whitaker, pers. communication</t>
        </r>
      </text>
    </comment>
    <comment ref="T1431" authorId="7" shapeId="0" xr:uid="{00000000-0006-0000-0000-00008B060000}">
      <text>
        <r>
          <rPr>
            <b/>
            <sz val="9"/>
            <color indexed="81"/>
            <rFont val="Tahoma"/>
            <family val="2"/>
          </rPr>
          <t>JEnnen:</t>
        </r>
        <r>
          <rPr>
            <sz val="9"/>
            <color indexed="81"/>
            <rFont val="Tahoma"/>
            <family val="2"/>
          </rPr>
          <t xml:space="preserve">
up to 4 with a mean of 3</t>
        </r>
      </text>
    </comment>
    <comment ref="J1432" authorId="808" shapeId="0" xr:uid="{00000000-0006-0000-0000-00008C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 940, cell value is SBM + Clutch Mass.</t>
        </r>
      </text>
    </comment>
    <comment ref="N1433" authorId="10" shapeId="0" xr:uid="{00000000-0006-0000-0000-00008D060000}">
      <text>
        <r>
          <rPr>
            <b/>
            <sz val="9"/>
            <color indexed="81"/>
            <rFont val="Arial"/>
            <family val="2"/>
          </rPr>
          <t>John Iverson:</t>
        </r>
        <r>
          <rPr>
            <sz val="9"/>
            <color indexed="81"/>
            <rFont val="Arial"/>
            <family val="2"/>
          </rPr>
          <t xml:space="preserve">
"45-52"</t>
        </r>
      </text>
    </comment>
    <comment ref="O1433" authorId="809" shapeId="0" xr:uid="{00000000-0006-0000-0000-00008E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20-24g was ranged provided; a significant outlier; must be incorrect.</t>
        </r>
      </text>
    </comment>
    <comment ref="P1433" authorId="10" shapeId="0" xr:uid="{00000000-0006-0000-0000-00008F060000}">
      <text>
        <r>
          <rPr>
            <b/>
            <sz val="9"/>
            <color indexed="81"/>
            <rFont val="Arial"/>
            <family val="2"/>
          </rPr>
          <t>John Iverson:</t>
        </r>
        <r>
          <rPr>
            <sz val="9"/>
            <color indexed="81"/>
            <rFont val="Arial"/>
            <family val="2"/>
          </rPr>
          <t xml:space="preserve">
estimated from our egg data set for this species</t>
        </r>
      </text>
    </comment>
    <comment ref="T1434" authorId="7" shapeId="0" xr:uid="{00000000-0006-0000-0000-000090060000}">
      <text>
        <r>
          <rPr>
            <b/>
            <sz val="9"/>
            <color indexed="81"/>
            <rFont val="Tahoma"/>
            <family val="2"/>
          </rPr>
          <t>JEnnen:</t>
        </r>
        <r>
          <rPr>
            <sz val="9"/>
            <color indexed="81"/>
            <rFont val="Tahoma"/>
            <family val="2"/>
          </rPr>
          <t xml:space="preserve">
3-4 reported</t>
        </r>
      </text>
    </comment>
    <comment ref="L1435" authorId="1" shapeId="0" xr:uid="{00000000-0006-0000-0000-000091060000}">
      <text>
        <r>
          <rPr>
            <sz val="10"/>
            <color rgb="FF000000"/>
            <rFont val="Arial"/>
            <family val="2"/>
          </rPr>
          <t>Diesmos et al. 2014 gave a range between 1-2
	-Joshua Ennen</t>
        </r>
      </text>
    </comment>
    <comment ref="K1436" authorId="810" shapeId="0" xr:uid="{00000000-0006-0000-0000-00009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8</t>
        </r>
      </text>
    </comment>
    <comment ref="J1437" authorId="811" shapeId="0" xr:uid="{00000000-0006-0000-0000-00009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genus</t>
        </r>
      </text>
    </comment>
    <comment ref="M1438" authorId="812" shapeId="0" xr:uid="{00000000-0006-0000-0000-000094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Schaeffer 2005 Geoemyda book</t>
        </r>
      </text>
    </comment>
    <comment ref="P1438" authorId="813" shapeId="0" xr:uid="{00000000-0006-0000-0000-000095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M. mutica (Aug 2020)</t>
        </r>
      </text>
    </comment>
    <comment ref="J1439" authorId="814" shapeId="0" xr:uid="{00000000-0006-0000-0000-000096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G. spengleri from Auer 2019 (Sept 2020)</t>
        </r>
      </text>
    </comment>
    <comment ref="J1442" authorId="815" shapeId="0" xr:uid="{00000000-0006-0000-0000-000097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datasets using Staurotypus salvinii from Iverson 1984</t>
        </r>
      </text>
    </comment>
    <comment ref="K1442" authorId="7" shapeId="0" xr:uid="{00000000-0006-0000-0000-000098060000}">
      <text>
        <r>
          <rPr>
            <b/>
            <sz val="9"/>
            <color indexed="81"/>
            <rFont val="Tahoma"/>
            <family val="2"/>
          </rPr>
          <t>JEnnen:</t>
        </r>
        <r>
          <rPr>
            <sz val="9"/>
            <color indexed="81"/>
            <rFont val="Tahoma"/>
            <family val="2"/>
          </rPr>
          <t xml:space="preserve">
4-5 reported</t>
        </r>
      </text>
    </comment>
    <comment ref="J1443" authorId="816" shapeId="0" xr:uid="{00000000-0006-0000-0000-000099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datasets using Staurotypus salvinii from Iverson 1984</t>
        </r>
      </text>
    </comment>
    <comment ref="J1444" authorId="817" shapeId="0" xr:uid="{00000000-0006-0000-0000-00009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datasets using Staurotypus salvinii from Iverson 1984</t>
        </r>
      </text>
    </comment>
    <comment ref="P1447" authorId="818" shapeId="0" xr:uid="{00000000-0006-0000-0000-00009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K. scorpioides (Oct 2020)</t>
        </r>
      </text>
    </comment>
    <comment ref="J1449" authorId="819" shapeId="0" xr:uid="{00000000-0006-0000-0000-00009C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0.1153*CL^3.006 via Iverson 1984</t>
        </r>
      </text>
    </comment>
    <comment ref="P1449" authorId="7" shapeId="0" xr:uid="{00000000-0006-0000-0000-00009D060000}">
      <text>
        <r>
          <rPr>
            <b/>
            <sz val="9"/>
            <color indexed="81"/>
            <rFont val="Tahoma"/>
            <family val="2"/>
          </rPr>
          <t>JEnnen:</t>
        </r>
        <r>
          <rPr>
            <sz val="9"/>
            <color indexed="81"/>
            <rFont val="Tahoma"/>
            <family val="2"/>
          </rPr>
          <t xml:space="preserve">
estimated from our egg regression database using K. scorpioides (Nov 2020)</t>
        </r>
      </text>
    </comment>
    <comment ref="J1450" authorId="10" shapeId="0" xr:uid="{00000000-0006-0000-0000-00009E060000}">
      <text>
        <r>
          <rPr>
            <b/>
            <sz val="9"/>
            <color indexed="81"/>
            <rFont val="Arial"/>
            <family val="2"/>
          </rPr>
          <t>John Iverson:</t>
        </r>
        <r>
          <rPr>
            <sz val="9"/>
            <color indexed="81"/>
            <rFont val="Arial"/>
            <family val="2"/>
          </rPr>
          <t xml:space="preserve">
estimated from BM-CL data for K. creaseri from Iverson 1989</t>
        </r>
      </text>
    </comment>
    <comment ref="P1450" authorId="10" shapeId="0" xr:uid="{00000000-0006-0000-0000-00009F060000}">
      <text>
        <r>
          <rPr>
            <b/>
            <sz val="9"/>
            <color indexed="81"/>
            <rFont val="Arial"/>
            <family val="2"/>
          </rPr>
          <t>John Iverson:</t>
        </r>
        <r>
          <rPr>
            <sz val="9"/>
            <color indexed="81"/>
            <rFont val="Arial"/>
            <family val="2"/>
          </rPr>
          <t xml:space="preserve">
estimated from our egg data set for K. creaseri</t>
        </r>
      </text>
    </comment>
    <comment ref="K1451" authorId="820" shapeId="0" xr:uid="{00000000-0006-0000-0000-0000A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5-8</t>
        </r>
      </text>
    </comment>
    <comment ref="J1452" authorId="821" shapeId="0" xr:uid="{00000000-0006-0000-0000-0000A1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data for K. creaseri from Iverson 1989</t>
        </r>
      </text>
    </comment>
    <comment ref="P1454" authorId="7" shapeId="0" xr:uid="{00000000-0006-0000-0000-0000A2060000}">
      <text>
        <r>
          <rPr>
            <b/>
            <sz val="9"/>
            <color indexed="81"/>
            <rFont val="Tahoma"/>
            <family val="2"/>
          </rPr>
          <t>JEnnen:</t>
        </r>
        <r>
          <rPr>
            <sz val="9"/>
            <color indexed="81"/>
            <rFont val="Tahoma"/>
            <family val="2"/>
          </rPr>
          <t xml:space="preserve">
estimated from our egg regression database using K. subrubrum (Nov 2020)</t>
        </r>
      </text>
    </comment>
    <comment ref="P1455" authorId="7" shapeId="0" xr:uid="{00000000-0006-0000-0000-0000A3060000}">
      <text>
        <r>
          <rPr>
            <b/>
            <sz val="9"/>
            <color indexed="81"/>
            <rFont val="Tahoma"/>
            <family val="2"/>
          </rPr>
          <t>JEnnen:</t>
        </r>
        <r>
          <rPr>
            <sz val="9"/>
            <color indexed="81"/>
            <rFont val="Tahoma"/>
            <family val="2"/>
          </rPr>
          <t xml:space="preserve">
estimated from our egg regression database using K. subrubrum (Nov 2020)</t>
        </r>
      </text>
    </comment>
    <comment ref="I1456" authorId="1" shapeId="0" xr:uid="{00000000-0006-0000-0000-0000A4060000}">
      <text>
        <r>
          <rPr>
            <sz val="10"/>
            <color rgb="FF000000"/>
            <rFont val="Arial"/>
            <family val="2"/>
          </rPr>
          <t>Iverson unpublished data
	-Joshua Ennen</t>
        </r>
      </text>
    </comment>
    <comment ref="J1456" authorId="822" shapeId="0" xr:uid="{00000000-0006-0000-0000-0000A5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database using K. herrerai from Iverson 1984 (Sept 2020)</t>
        </r>
      </text>
    </comment>
    <comment ref="P1456" authorId="823" shapeId="0" xr:uid="{00000000-0006-0000-0000-0000A6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S. salvanii (OCt 2020)</t>
        </r>
      </text>
    </comment>
    <comment ref="P1457" authorId="824" shapeId="0" xr:uid="{00000000-0006-0000-0000-0000A7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regression database (Oct 2020)</t>
        </r>
      </text>
    </comment>
    <comment ref="P1458" authorId="825" shapeId="0" xr:uid="{00000000-0006-0000-0000-0000A8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regression database (Oct 2020)</t>
        </r>
      </text>
    </comment>
    <comment ref="J1459" authorId="10" shapeId="0" xr:uid="{00000000-0006-0000-0000-0000A9060000}">
      <text>
        <r>
          <rPr>
            <b/>
            <sz val="9"/>
            <color indexed="81"/>
            <rFont val="Arial"/>
            <family val="2"/>
          </rPr>
          <t>John Iverson:</t>
        </r>
        <r>
          <rPr>
            <sz val="9"/>
            <color indexed="81"/>
            <rFont val="Arial"/>
            <family val="2"/>
          </rPr>
          <t xml:space="preserve">
estimated from BM-CL data in Iverson 1984</t>
        </r>
      </text>
    </comment>
    <comment ref="S1459" authorId="10" shapeId="0" xr:uid="{00000000-0006-0000-0000-0000AA060000}">
      <text>
        <r>
          <rPr>
            <b/>
            <sz val="9"/>
            <color indexed="81"/>
            <rFont val="Arial"/>
            <family val="2"/>
          </rPr>
          <t>John Iverson:</t>
        </r>
        <r>
          <rPr>
            <sz val="9"/>
            <color indexed="81"/>
            <rFont val="Arial"/>
            <family val="2"/>
          </rPr>
          <t xml:space="preserve">
RCM reported in paper is spent RCM</t>
        </r>
      </text>
    </comment>
    <comment ref="P1460" authorId="826" shapeId="0" xr:uid="{00000000-0006-0000-0000-0000A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regression database (Oct 2020)</t>
        </r>
      </text>
    </comment>
    <comment ref="J1461" authorId="10" shapeId="0" xr:uid="{00000000-0006-0000-0000-0000AC060000}">
      <text>
        <r>
          <rPr>
            <b/>
            <sz val="9"/>
            <color indexed="81"/>
            <rFont val="Arial"/>
            <family val="2"/>
          </rPr>
          <t>John Iverson:</t>
        </r>
        <r>
          <rPr>
            <sz val="9"/>
            <color indexed="81"/>
            <rFont val="Arial"/>
            <family val="2"/>
          </rPr>
          <t xml:space="preserve">
estimated from BM-CL data in Iverson 1984</t>
        </r>
      </text>
    </comment>
    <comment ref="K1461" authorId="7" shapeId="0" xr:uid="{00000000-0006-0000-0000-0000AD060000}">
      <text>
        <r>
          <rPr>
            <b/>
            <sz val="9"/>
            <color indexed="81"/>
            <rFont val="Tahoma"/>
            <family val="2"/>
          </rPr>
          <t>JEnnen:</t>
        </r>
        <r>
          <rPr>
            <sz val="9"/>
            <color indexed="81"/>
            <rFont val="Tahoma"/>
            <family val="2"/>
          </rPr>
          <t xml:space="preserve">
5-6 reported</t>
        </r>
      </text>
    </comment>
    <comment ref="T1461" authorId="7" shapeId="0" xr:uid="{00000000-0006-0000-0000-0000AE060000}">
      <text>
        <r>
          <rPr>
            <b/>
            <sz val="9"/>
            <color indexed="81"/>
            <rFont val="Tahoma"/>
            <family val="2"/>
          </rPr>
          <t>JEnnen:</t>
        </r>
        <r>
          <rPr>
            <sz val="9"/>
            <color indexed="81"/>
            <rFont val="Tahoma"/>
            <family val="2"/>
          </rPr>
          <t xml:space="preserve">
3-6 reported</t>
        </r>
      </text>
    </comment>
    <comment ref="J1462" authorId="10" shapeId="0" xr:uid="{00000000-0006-0000-0000-0000AF060000}">
      <text>
        <r>
          <rPr>
            <sz val="9"/>
            <color indexed="81"/>
            <rFont val="Arial"/>
            <family val="2"/>
          </rPr>
          <t>estimated from data in Dunson 1981 (July 2020)</t>
        </r>
      </text>
    </comment>
    <comment ref="K1463" authorId="7" shapeId="0" xr:uid="{00000000-0006-0000-0000-0000B0060000}">
      <text>
        <r>
          <rPr>
            <b/>
            <sz val="9"/>
            <color indexed="81"/>
            <rFont val="Tahoma"/>
            <family val="2"/>
          </rPr>
          <t>JEnnen:</t>
        </r>
        <r>
          <rPr>
            <sz val="9"/>
            <color indexed="81"/>
            <rFont val="Tahoma"/>
            <family val="2"/>
          </rPr>
          <t xml:space="preserve">
5-6 reported</t>
        </r>
      </text>
    </comment>
    <comment ref="L1463" authorId="7" shapeId="0" xr:uid="{00000000-0006-0000-0000-0000B1060000}">
      <text>
        <r>
          <rPr>
            <b/>
            <sz val="9"/>
            <color indexed="81"/>
            <rFont val="Tahoma"/>
            <family val="2"/>
          </rPr>
          <t>JEnnen:</t>
        </r>
        <r>
          <rPr>
            <sz val="9"/>
            <color indexed="81"/>
            <rFont val="Tahoma"/>
            <family val="2"/>
          </rPr>
          <t xml:space="preserve">
3-5</t>
        </r>
      </text>
    </comment>
    <comment ref="P1463" authorId="827" shapeId="0" xr:uid="{00000000-0006-0000-0000-0000B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3-5</t>
        </r>
      </text>
    </comment>
    <comment ref="J1464" authorId="10" shapeId="0" xr:uid="{00000000-0006-0000-0000-0000B3060000}">
      <text>
        <r>
          <rPr>
            <b/>
            <sz val="9"/>
            <color indexed="81"/>
            <rFont val="Arial"/>
            <family val="2"/>
          </rPr>
          <t>John Iverson:</t>
        </r>
        <r>
          <rPr>
            <sz val="9"/>
            <color indexed="81"/>
            <rFont val="Arial"/>
            <family val="2"/>
          </rPr>
          <t xml:space="preserve">
estimated from data in Dunson 1981</t>
        </r>
      </text>
    </comment>
    <comment ref="P1464" authorId="10" shapeId="0" xr:uid="{00000000-0006-0000-0000-0000B4060000}">
      <text>
        <r>
          <rPr>
            <b/>
            <sz val="9"/>
            <color indexed="81"/>
            <rFont val="Arial"/>
            <family val="2"/>
          </rPr>
          <t>John Iverson:</t>
        </r>
        <r>
          <rPr>
            <sz val="9"/>
            <color indexed="81"/>
            <rFont val="Arial"/>
            <family val="2"/>
          </rPr>
          <t xml:space="preserve">
estimated from our egg data set</t>
        </r>
      </text>
    </comment>
    <comment ref="J1465" authorId="10" shapeId="0" xr:uid="{00000000-0006-0000-0000-0000B5060000}">
      <text>
        <r>
          <rPr>
            <b/>
            <sz val="9"/>
            <color indexed="81"/>
            <rFont val="Arial"/>
            <family val="2"/>
          </rPr>
          <t>John Iverson:</t>
        </r>
        <r>
          <rPr>
            <sz val="9"/>
            <color indexed="81"/>
            <rFont val="Arial"/>
            <family val="2"/>
          </rPr>
          <t xml:space="preserve">
estimated from Dunson 1961</t>
        </r>
      </text>
    </comment>
    <comment ref="P1465" authorId="10" shapeId="0" xr:uid="{00000000-0006-0000-0000-0000B6060000}">
      <text>
        <r>
          <rPr>
            <b/>
            <sz val="9"/>
            <color indexed="81"/>
            <rFont val="Arial"/>
            <family val="2"/>
          </rPr>
          <t>John Iverson:</t>
        </r>
        <r>
          <rPr>
            <sz val="9"/>
            <color indexed="81"/>
            <rFont val="Arial"/>
            <family val="2"/>
          </rPr>
          <t xml:space="preserve">
estimated from our egg data set</t>
        </r>
      </text>
    </comment>
    <comment ref="P1468" authorId="828" shapeId="0" xr:uid="{00000000-0006-0000-0000-0000B7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regression database (Oct 2020)</t>
        </r>
      </text>
    </comment>
    <comment ref="J1469" authorId="829" shapeId="0" xr:uid="{00000000-0006-0000-0000-0000B8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0.2490*CL^2.867 Iverson 1984</t>
        </r>
      </text>
    </comment>
    <comment ref="P1469" authorId="830" shapeId="0" xr:uid="{00000000-0006-0000-0000-0000B9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t>
        </r>
      </text>
    </comment>
    <comment ref="P1471" authorId="831" shapeId="0" xr:uid="{00000000-0006-0000-0000-0000B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regression database (Oct 2020)</t>
        </r>
      </text>
    </comment>
    <comment ref="I1472" authorId="832" shapeId="0" xr:uid="{00000000-0006-0000-0000-0000B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0.2490*CL^2.867 Iverson 1984</t>
        </r>
      </text>
    </comment>
    <comment ref="K1474" authorId="7" shapeId="0" xr:uid="{00000000-0006-0000-0000-0000BC060000}">
      <text>
        <r>
          <rPr>
            <b/>
            <sz val="9"/>
            <color indexed="81"/>
            <rFont val="Tahoma"/>
            <family val="2"/>
          </rPr>
          <t>JEnnen:</t>
        </r>
        <r>
          <rPr>
            <sz val="9"/>
            <color indexed="81"/>
            <rFont val="Tahoma"/>
            <family val="2"/>
          </rPr>
          <t xml:space="preserve">
5-7 reported</t>
        </r>
      </text>
    </comment>
    <comment ref="L1474" authorId="7" shapeId="0" xr:uid="{00000000-0006-0000-0000-0000BD060000}">
      <text>
        <r>
          <rPr>
            <b/>
            <sz val="9"/>
            <color indexed="81"/>
            <rFont val="Tahoma"/>
            <family val="2"/>
          </rPr>
          <t>JEnnen:</t>
        </r>
        <r>
          <rPr>
            <sz val="9"/>
            <color indexed="81"/>
            <rFont val="Tahoma"/>
            <family val="2"/>
          </rPr>
          <t xml:space="preserve">
1-7
</t>
        </r>
      </text>
    </comment>
    <comment ref="G1475" authorId="833" shapeId="0" xr:uid="{00000000-0006-0000-0000-0000BE060000}">
      <text>
        <r>
          <rPr>
            <sz val="10"/>
            <color rgb="FF000000"/>
            <rFont val="Arial"/>
            <family val="2"/>
          </rPr>
          <t xml:space="preserve">
Comment:
    estimated ca. 19.5</t>
        </r>
      </text>
    </comment>
    <comment ref="K1475" authorId="7" shapeId="0" xr:uid="{00000000-0006-0000-0000-0000BF060000}">
      <text>
        <r>
          <rPr>
            <b/>
            <sz val="9"/>
            <color indexed="81"/>
            <rFont val="Tahoma"/>
            <family val="2"/>
          </rPr>
          <t>JEnnen:</t>
        </r>
        <r>
          <rPr>
            <sz val="9"/>
            <color indexed="81"/>
            <rFont val="Tahoma"/>
            <family val="2"/>
          </rPr>
          <t xml:space="preserve">
7-8 reported</t>
        </r>
      </text>
    </comment>
    <comment ref="P1475" authorId="834" shapeId="0" xr:uid="{00000000-0006-0000-0000-0000C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Kinosternon integrum</t>
        </r>
      </text>
    </comment>
    <comment ref="J1476" authorId="835" shapeId="0" xr:uid="{00000000-0006-0000-0000-0000C1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0.1507*CL^2.9825 from Iverson unpublished data (July 2020)</t>
        </r>
      </text>
    </comment>
    <comment ref="P1476" authorId="836" shapeId="0" xr:uid="{00000000-0006-0000-0000-0000C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Kinosternon integrum</t>
        </r>
      </text>
    </comment>
    <comment ref="J1477" authorId="837" shapeId="0" xr:uid="{00000000-0006-0000-0000-0000C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0.1507*CL^2.9825 from Iverson unpublished data (July 2020)</t>
        </r>
      </text>
    </comment>
    <comment ref="P1477" authorId="838" shapeId="0" xr:uid="{00000000-0006-0000-0000-0000C4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Kinosternon integrum</t>
        </r>
      </text>
    </comment>
    <comment ref="J1478" authorId="10" shapeId="0" xr:uid="{00000000-0006-0000-0000-0000C5060000}">
      <text>
        <r>
          <rPr>
            <b/>
            <sz val="9"/>
            <color indexed="81"/>
            <rFont val="Arial"/>
            <family val="2"/>
          </rPr>
          <t>John Iverson:</t>
        </r>
        <r>
          <rPr>
            <sz val="9"/>
            <color indexed="81"/>
            <rFont val="Arial"/>
            <family val="2"/>
          </rPr>
          <t xml:space="preserve">
eatimated from our BM-CL equation for k. herrerai.</t>
        </r>
      </text>
    </comment>
    <comment ref="P1478" authorId="10" shapeId="0" xr:uid="{00000000-0006-0000-0000-0000C6060000}">
      <text>
        <r>
          <rPr>
            <b/>
            <sz val="9"/>
            <color indexed="81"/>
            <rFont val="Arial"/>
            <family val="2"/>
          </rPr>
          <t>John Iverson:</t>
        </r>
        <r>
          <rPr>
            <sz val="9"/>
            <color indexed="81"/>
            <rFont val="Arial"/>
            <family val="2"/>
          </rPr>
          <t xml:space="preserve">
Estimated from our egg data set for k. hirtipes</t>
        </r>
      </text>
    </comment>
    <comment ref="K1480" authorId="7" shapeId="0" xr:uid="{00000000-0006-0000-0000-0000C7060000}">
      <text>
        <r>
          <rPr>
            <b/>
            <sz val="9"/>
            <color indexed="81"/>
            <rFont val="Tahoma"/>
            <family val="2"/>
          </rPr>
          <t>JEnnen:</t>
        </r>
        <r>
          <rPr>
            <sz val="9"/>
            <color indexed="81"/>
            <rFont val="Tahoma"/>
            <family val="2"/>
          </rPr>
          <t xml:space="preserve">
10-15 reported</t>
        </r>
      </text>
    </comment>
    <comment ref="T1480" authorId="7" shapeId="0" xr:uid="{00000000-0006-0000-0000-0000C8060000}">
      <text>
        <r>
          <rPr>
            <b/>
            <sz val="9"/>
            <color indexed="81"/>
            <rFont val="Tahoma"/>
            <family val="2"/>
          </rPr>
          <t>JEnnen:</t>
        </r>
        <r>
          <rPr>
            <sz val="9"/>
            <color indexed="81"/>
            <rFont val="Tahoma"/>
            <family val="2"/>
          </rPr>
          <t xml:space="preserve">
2-3 reported</t>
        </r>
      </text>
    </comment>
    <comment ref="G1481" authorId="839" shapeId="0" xr:uid="{00000000-0006-0000-0000-0000C9060000}">
      <text>
        <r>
          <rPr>
            <sz val="10"/>
            <color rgb="FF000000"/>
            <rFont val="Arial"/>
            <family val="2"/>
          </rPr>
          <t xml:space="preserve">
Comment:
    estimated ca.2</t>
        </r>
      </text>
    </comment>
    <comment ref="J1481" authorId="840" shapeId="0" xr:uid="{00000000-0006-0000-0000-0000C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K. herrerai Iverson 1984</t>
        </r>
      </text>
    </comment>
    <comment ref="P1481" authorId="10" shapeId="0" xr:uid="{00000000-0006-0000-0000-0000CB060000}">
      <text>
        <r>
          <rPr>
            <b/>
            <sz val="9"/>
            <color indexed="81"/>
            <rFont val="Arial"/>
            <family val="2"/>
          </rPr>
          <t>John Iverson:</t>
        </r>
        <r>
          <rPr>
            <sz val="9"/>
            <color indexed="81"/>
            <rFont val="Arial"/>
            <family val="2"/>
          </rPr>
          <t xml:space="preserve">
estimated from our egg data set for S. triporcatus</t>
        </r>
      </text>
    </comment>
    <comment ref="P1482" authorId="841" shapeId="0" xr:uid="{00000000-0006-0000-0000-0000CC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Staurotypus triporcatus (Dec 2020)</t>
        </r>
      </text>
    </comment>
    <comment ref="J1483" authorId="842" shapeId="0" xr:uid="{00000000-0006-0000-0000-0000CD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K. flavescens from Iverson 1984 (Sept 2020)</t>
        </r>
      </text>
    </comment>
    <comment ref="K1485" authorId="7" shapeId="0" xr:uid="{00000000-0006-0000-0000-0000CE060000}">
      <text>
        <r>
          <rPr>
            <b/>
            <sz val="9"/>
            <color indexed="81"/>
            <rFont val="Tahoma"/>
            <family val="2"/>
          </rPr>
          <t>JEnnen:</t>
        </r>
        <r>
          <rPr>
            <sz val="9"/>
            <color indexed="81"/>
            <rFont val="Tahoma"/>
            <family val="2"/>
          </rPr>
          <t xml:space="preserve">
6-7 reported</t>
        </r>
      </text>
    </comment>
    <comment ref="P1486" authorId="843" shapeId="0" xr:uid="{00000000-0006-0000-0000-0000CF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y = 0.6799x - 6.767 Iverson unpublised data</t>
        </r>
      </text>
    </comment>
    <comment ref="P1487" authorId="844" shapeId="0" xr:uid="{00000000-0006-0000-0000-0000D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(Oct 2020)</t>
        </r>
      </text>
    </comment>
    <comment ref="L1492" authorId="10" shapeId="0" xr:uid="{00000000-0006-0000-0000-0000D1060000}">
      <text>
        <r>
          <rPr>
            <b/>
            <sz val="9"/>
            <color indexed="81"/>
            <rFont val="Arial"/>
            <family val="2"/>
          </rPr>
          <t>John Iverson:</t>
        </r>
        <r>
          <rPr>
            <sz val="9"/>
            <color indexed="81"/>
            <rFont val="Arial"/>
            <family val="2"/>
          </rPr>
          <t xml:space="preserve">
questionable rcord</t>
        </r>
      </text>
    </comment>
    <comment ref="P1492" authorId="845" shapeId="0" xr:uid="{00000000-0006-0000-0000-0000D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(Oct 2020)</t>
        </r>
      </text>
    </comment>
    <comment ref="O1494" authorId="10" shapeId="0" xr:uid="{00000000-0006-0000-0000-0000D3060000}">
      <text>
        <r>
          <rPr>
            <b/>
            <sz val="9"/>
            <color indexed="81"/>
            <rFont val="Arial"/>
            <family val="2"/>
          </rPr>
          <t>John Iverson:</t>
        </r>
        <r>
          <rPr>
            <sz val="9"/>
            <color indexed="81"/>
            <rFont val="Arial"/>
            <family val="2"/>
          </rPr>
          <t xml:space="preserve">
17.5 in paper is a typo</t>
        </r>
      </text>
    </comment>
    <comment ref="P1494" authorId="10" shapeId="0" xr:uid="{00000000-0006-0000-0000-0000D4060000}">
      <text>
        <r>
          <rPr>
            <b/>
            <sz val="9"/>
            <color indexed="81"/>
            <rFont val="Arial"/>
            <family val="2"/>
          </rPr>
          <t>John Iverson:</t>
        </r>
        <r>
          <rPr>
            <sz val="9"/>
            <color indexed="81"/>
            <rFont val="Arial"/>
            <family val="2"/>
          </rPr>
          <t xml:space="preserve">
estimated from our egg data set</t>
        </r>
      </text>
    </comment>
    <comment ref="L1497" authorId="10" shapeId="0" xr:uid="{00000000-0006-0000-0000-0000D5060000}">
      <text>
        <r>
          <rPr>
            <b/>
            <sz val="9"/>
            <color indexed="81"/>
            <rFont val="Arial"/>
            <family val="2"/>
          </rPr>
          <t>John Iverson:</t>
        </r>
        <r>
          <rPr>
            <sz val="9"/>
            <color indexed="81"/>
            <rFont val="Arial"/>
            <family val="2"/>
          </rPr>
          <t xml:space="preserve">
N = 2; 6 and 10</t>
        </r>
      </text>
    </comment>
    <comment ref="J1499" authorId="846" shapeId="0" xr:uid="{00000000-0006-0000-0000-0000D6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0.1136*CL^3.095 Iverson 1984</t>
        </r>
      </text>
    </comment>
    <comment ref="P1499" authorId="847" shapeId="0" xr:uid="{00000000-0006-0000-0000-0000D7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Kinosternon integrum</t>
        </r>
      </text>
    </comment>
    <comment ref="P1500" authorId="848" shapeId="0" xr:uid="{00000000-0006-0000-0000-0000D8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Kinosternon integrum</t>
        </r>
      </text>
    </comment>
    <comment ref="P1502" authorId="849" shapeId="0" xr:uid="{00000000-0006-0000-0000-0000D9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 using Kinosternon integrum</t>
        </r>
      </text>
    </comment>
    <comment ref="I1504" authorId="850" shapeId="0" xr:uid="{00000000-0006-0000-0000-0000D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only mature females using BM-CL dataset (July)</t>
        </r>
      </text>
    </comment>
    <comment ref="J1504" authorId="851" shapeId="0" xr:uid="{00000000-0006-0000-0000-0000D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only mature females using BM-CL dataset (July)</t>
        </r>
      </text>
    </comment>
    <comment ref="K1504" authorId="7" shapeId="0" xr:uid="{00000000-0006-0000-0000-0000DC060000}">
      <text>
        <r>
          <rPr>
            <b/>
            <sz val="9"/>
            <color indexed="81"/>
            <rFont val="Tahoma"/>
            <family val="2"/>
          </rPr>
          <t>JEnnen:</t>
        </r>
        <r>
          <rPr>
            <sz val="9"/>
            <color indexed="81"/>
            <rFont val="Tahoma"/>
            <family val="2"/>
          </rPr>
          <t xml:space="preserve">
6-8 reported</t>
        </r>
      </text>
    </comment>
    <comment ref="T1504" authorId="7" shapeId="0" xr:uid="{00000000-0006-0000-0000-0000DD060000}">
      <text>
        <r>
          <rPr>
            <b/>
            <sz val="9"/>
            <color indexed="81"/>
            <rFont val="Tahoma"/>
            <family val="2"/>
          </rPr>
          <t>JEnnen:</t>
        </r>
        <r>
          <rPr>
            <sz val="9"/>
            <color indexed="81"/>
            <rFont val="Tahoma"/>
            <family val="2"/>
          </rPr>
          <t xml:space="preserve">
3-4 reported</t>
        </r>
      </text>
    </comment>
    <comment ref="J1505" authorId="852" shapeId="0" xr:uid="{00000000-0006-0000-0000-0000DE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0.1931*CL^2.887 (Iverson 1984)</t>
        </r>
      </text>
    </comment>
    <comment ref="J1506" authorId="10" shapeId="0" xr:uid="{00000000-0006-0000-0000-0000DF060000}">
      <text>
        <r>
          <rPr>
            <b/>
            <sz val="9"/>
            <color indexed="81"/>
            <rFont val="Arial"/>
            <family val="2"/>
          </rPr>
          <t>John Iverson:</t>
        </r>
        <r>
          <rPr>
            <sz val="9"/>
            <color indexed="81"/>
            <rFont val="Arial"/>
            <family val="2"/>
          </rPr>
          <t xml:space="preserve">
estimated from our BM-CL data set for this species</t>
        </r>
      </text>
    </comment>
    <comment ref="O1506" authorId="10" shapeId="0" xr:uid="{00000000-0006-0000-0000-0000E0060000}">
      <text>
        <r>
          <rPr>
            <b/>
            <sz val="9"/>
            <color indexed="81"/>
            <rFont val="Arial"/>
            <family val="2"/>
          </rPr>
          <t>John Iverson:</t>
        </r>
        <r>
          <rPr>
            <sz val="9"/>
            <color indexed="81"/>
            <rFont val="Arial"/>
            <family val="2"/>
          </rPr>
          <t xml:space="preserve">
Says eggs are 16x8 which is impossible</t>
        </r>
      </text>
    </comment>
    <comment ref="P1507" authorId="853" shapeId="0" xr:uid="{00000000-0006-0000-0000-0000E1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(Oct 2020)</t>
        </r>
      </text>
    </comment>
    <comment ref="P1508" authorId="854" shapeId="0" xr:uid="{00000000-0006-0000-0000-0000E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(Oct 2020)</t>
        </r>
      </text>
    </comment>
    <comment ref="P1509" authorId="855" shapeId="0" xr:uid="{00000000-0006-0000-0000-0000E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4.76g; estimated from our egg regression database (Oct 2020)</t>
        </r>
      </text>
    </comment>
    <comment ref="I1511" authorId="11" shapeId="0" xr:uid="{00000000-0006-0000-0000-0000E4060000}">
      <text>
        <r>
          <rPr>
            <b/>
            <sz val="9"/>
            <color indexed="81"/>
            <rFont val="Tahoma"/>
            <family val="2"/>
          </rPr>
          <t>TNACI:</t>
        </r>
        <r>
          <rPr>
            <sz val="9"/>
            <color indexed="81"/>
            <rFont val="Tahoma"/>
            <family val="2"/>
          </rPr>
          <t xml:space="preserve">
Converted PL = 15.89 to CL PL/CL = 0.954  from Iverson 1989</t>
        </r>
      </text>
    </comment>
    <comment ref="I1512" authorId="11" shapeId="0" xr:uid="{00000000-0006-0000-0000-0000E5060000}">
      <text>
        <r>
          <rPr>
            <b/>
            <sz val="9"/>
            <color indexed="81"/>
            <rFont val="Tahoma"/>
            <family val="2"/>
          </rPr>
          <t>TNACI:</t>
        </r>
        <r>
          <rPr>
            <sz val="9"/>
            <color indexed="81"/>
            <rFont val="Tahoma"/>
            <family val="2"/>
          </rPr>
          <t xml:space="preserve">
Converted PL = 14.8 to CL PL/CL = 0.954  from Iverson 1989</t>
        </r>
      </text>
    </comment>
    <comment ref="I1513" authorId="856" shapeId="0" xr:uid="{00000000-0006-0000-0000-0000E6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Converted PL = 13.25 to CL PL/CL = 0.954 from Iverson 1989</t>
        </r>
      </text>
    </comment>
    <comment ref="I1514" authorId="11" shapeId="0" xr:uid="{00000000-0006-0000-0000-0000E7060000}">
      <text>
        <r>
          <rPr>
            <b/>
            <sz val="9"/>
            <color indexed="81"/>
            <rFont val="Tahoma"/>
            <family val="2"/>
          </rPr>
          <t>TNACI:</t>
        </r>
        <r>
          <rPr>
            <sz val="9"/>
            <color indexed="81"/>
            <rFont val="Tahoma"/>
            <family val="2"/>
          </rPr>
          <t xml:space="preserve">
Converted PL = 12.50 to CL PL/CL = 0.954  from Iverson 1989</t>
        </r>
      </text>
    </comment>
    <comment ref="I1515" authorId="11" shapeId="0" xr:uid="{00000000-0006-0000-0000-0000E8060000}">
      <text>
        <r>
          <rPr>
            <b/>
            <sz val="9"/>
            <color indexed="81"/>
            <rFont val="Tahoma"/>
            <family val="2"/>
          </rPr>
          <t>TNACI:</t>
        </r>
        <r>
          <rPr>
            <sz val="9"/>
            <color indexed="81"/>
            <rFont val="Tahoma"/>
            <family val="2"/>
          </rPr>
          <t xml:space="preserve">
Converted PL = 13.78 to CL PL/CL = 0.954  from Iverson 1989</t>
        </r>
      </text>
    </comment>
    <comment ref="I1516" authorId="11" shapeId="0" xr:uid="{00000000-0006-0000-0000-0000E9060000}">
      <text>
        <r>
          <rPr>
            <b/>
            <sz val="9"/>
            <color indexed="81"/>
            <rFont val="Tahoma"/>
            <family val="2"/>
          </rPr>
          <t>TNACI:</t>
        </r>
        <r>
          <rPr>
            <sz val="9"/>
            <color indexed="81"/>
            <rFont val="Tahoma"/>
            <family val="2"/>
          </rPr>
          <t xml:space="preserve">
Converted PL = 13.36 to CL PL/CL = 0.954  from Iverson 1989</t>
        </r>
      </text>
    </comment>
    <comment ref="I1517" authorId="11" shapeId="0" xr:uid="{00000000-0006-0000-0000-0000EA060000}">
      <text>
        <r>
          <rPr>
            <b/>
            <sz val="9"/>
            <color indexed="81"/>
            <rFont val="Tahoma"/>
            <family val="2"/>
          </rPr>
          <t>TNACI:</t>
        </r>
        <r>
          <rPr>
            <sz val="9"/>
            <color indexed="81"/>
            <rFont val="Tahoma"/>
            <family val="2"/>
          </rPr>
          <t xml:space="preserve">
Converted PL = 13.83 to CL PL/CL = 0.954  from Iverson 1989</t>
        </r>
      </text>
    </comment>
    <comment ref="J1518" authorId="857" shapeId="0" xr:uid="{00000000-0006-0000-0000-0000E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Iverson 1998</t>
        </r>
      </text>
    </comment>
    <comment ref="P1518" authorId="858" shapeId="0" xr:uid="{00000000-0006-0000-0000-0000EC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y = 1.001x - 11.469 Iverson unpublished data</t>
        </r>
      </text>
    </comment>
    <comment ref="J1519" authorId="859" shapeId="0" xr:uid="{00000000-0006-0000-0000-0000ED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Iverson 1998</t>
        </r>
      </text>
    </comment>
    <comment ref="P1519" authorId="11" shapeId="0" xr:uid="{00000000-0006-0000-0000-0000EE060000}">
      <text>
        <r>
          <rPr>
            <b/>
            <sz val="9"/>
            <color indexed="81"/>
            <rFont val="Tahoma"/>
            <family val="2"/>
          </rPr>
          <t>TNACI:</t>
        </r>
        <r>
          <rPr>
            <sz val="9"/>
            <color indexed="81"/>
            <rFont val="Tahoma"/>
            <family val="2"/>
          </rPr>
          <t xml:space="preserve">
estimated from EM = 0.201EL + 0.675EW - 12.269 Iverson unpublished data</t>
        </r>
      </text>
    </comment>
    <comment ref="J1520" authorId="860" shapeId="0" xr:uid="{00000000-0006-0000-0000-0000EF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Iverson 1998</t>
        </r>
      </text>
    </comment>
    <comment ref="P1520" authorId="861" shapeId="0" xr:uid="{00000000-0006-0000-0000-0000F0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dataset (July 2020)</t>
        </r>
      </text>
    </comment>
    <comment ref="P1521" authorId="862" shapeId="0" xr:uid="{00000000-0006-0000-0000-0000F1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5g; estimated from egg regression database (Oct 2020)</t>
        </r>
      </text>
    </comment>
    <comment ref="J1523" authorId="863" shapeId="0" xr:uid="{00000000-0006-0000-0000-0000F2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0.1771*CL^2.924 (Iverson 1984)</t>
        </r>
      </text>
    </comment>
    <comment ref="P1523" authorId="864" shapeId="0" xr:uid="{00000000-0006-0000-0000-0000F3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1.0891x - 12.002 Iverson unpublished data</t>
        </r>
      </text>
    </comment>
    <comment ref="T1524" authorId="7" shapeId="0" xr:uid="{00000000-0006-0000-0000-0000F4060000}">
      <text>
        <r>
          <rPr>
            <b/>
            <sz val="9"/>
            <color indexed="81"/>
            <rFont val="Tahoma"/>
            <family val="2"/>
          </rPr>
          <t>JEnnen:</t>
        </r>
        <r>
          <rPr>
            <sz val="9"/>
            <color indexed="81"/>
            <rFont val="Tahoma"/>
            <family val="2"/>
          </rPr>
          <t xml:space="preserve">
1-4 reported</t>
        </r>
      </text>
    </comment>
    <comment ref="T1525" authorId="7" shapeId="0" xr:uid="{00000000-0006-0000-0000-0000F5060000}">
      <text>
        <r>
          <rPr>
            <b/>
            <sz val="9"/>
            <color indexed="81"/>
            <rFont val="Tahoma"/>
            <family val="2"/>
          </rPr>
          <t>JEnnen:</t>
        </r>
        <r>
          <rPr>
            <sz val="9"/>
            <color indexed="81"/>
            <rFont val="Tahoma"/>
            <family val="2"/>
          </rPr>
          <t xml:space="preserve">
2-6 reported</t>
        </r>
      </text>
    </comment>
    <comment ref="T1526" authorId="7" shapeId="0" xr:uid="{00000000-0006-0000-0000-0000F6060000}">
      <text>
        <r>
          <rPr>
            <b/>
            <sz val="9"/>
            <color indexed="81"/>
            <rFont val="Tahoma"/>
            <family val="2"/>
          </rPr>
          <t>JEnnen:</t>
        </r>
        <r>
          <rPr>
            <sz val="9"/>
            <color indexed="81"/>
            <rFont val="Tahoma"/>
            <family val="2"/>
          </rPr>
          <t xml:space="preserve">
1-5 reported</t>
        </r>
      </text>
    </comment>
    <comment ref="G1527" authorId="865" shapeId="0" xr:uid="{00000000-0006-0000-0000-0000F7060000}">
      <text>
        <r>
          <rPr>
            <sz val="10"/>
            <color rgb="FF000000"/>
            <rFont val="Arial"/>
            <family val="2"/>
          </rPr>
          <t xml:space="preserve">
Comment:
    estimated ca. 8</t>
        </r>
      </text>
    </comment>
    <comment ref="J1527" authorId="10" shapeId="0" xr:uid="{00000000-0006-0000-0000-0000F8060000}">
      <text>
        <r>
          <rPr>
            <b/>
            <sz val="9"/>
            <color indexed="81"/>
            <rFont val="Arial"/>
            <family val="2"/>
          </rPr>
          <t>John Iverson:</t>
        </r>
        <r>
          <rPr>
            <sz val="9"/>
            <color indexed="81"/>
            <rFont val="Arial"/>
            <family val="2"/>
          </rPr>
          <t xml:space="preserve">
estimated for BM-CL data in Iverson 1984</t>
        </r>
      </text>
    </comment>
    <comment ref="P1527" authorId="10" shapeId="0" xr:uid="{00000000-0006-0000-0000-0000F9060000}">
      <text>
        <r>
          <rPr>
            <b/>
            <sz val="9"/>
            <color indexed="81"/>
            <rFont val="Arial"/>
            <family val="2"/>
          </rPr>
          <t>John Iverson:</t>
        </r>
        <r>
          <rPr>
            <sz val="9"/>
            <color indexed="81"/>
            <rFont val="Arial"/>
            <family val="2"/>
          </rPr>
          <t xml:space="preserve">
estimated from our egg data set</t>
        </r>
      </text>
    </comment>
    <comment ref="J1528" authorId="866" shapeId="0" xr:uid="{00000000-0006-0000-0000-0000FA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0.1771*CL^2.924 (Iverson 1984)</t>
        </r>
      </text>
    </comment>
    <comment ref="O1528" authorId="867" shapeId="0" xr:uid="{00000000-0006-0000-0000-0000FB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1.0891x - 12.002 Iverson unpublished data</t>
        </r>
      </text>
    </comment>
    <comment ref="L1531" authorId="7" shapeId="0" xr:uid="{00000000-0006-0000-0000-0000FC060000}">
      <text>
        <r>
          <rPr>
            <b/>
            <sz val="9"/>
            <color indexed="81"/>
            <rFont val="Tahoma"/>
            <family val="2"/>
          </rPr>
          <t>JEnnen:</t>
        </r>
        <r>
          <rPr>
            <sz val="9"/>
            <color indexed="81"/>
            <rFont val="Tahoma"/>
            <family val="2"/>
          </rPr>
          <t xml:space="preserve">
1-2</t>
        </r>
      </text>
    </comment>
    <comment ref="P1532" authorId="868" shapeId="0" xr:uid="{00000000-0006-0000-0000-0000FD06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(Oct 2020)</t>
        </r>
      </text>
    </comment>
    <comment ref="P1533" authorId="10" shapeId="0" xr:uid="{00000000-0006-0000-0000-0000FE060000}">
      <text>
        <r>
          <rPr>
            <b/>
            <sz val="9"/>
            <color indexed="81"/>
            <rFont val="Arial"/>
            <family val="2"/>
          </rPr>
          <t>John Iverson:</t>
        </r>
        <r>
          <rPr>
            <sz val="9"/>
            <color indexed="81"/>
            <rFont val="Arial"/>
            <family val="2"/>
          </rPr>
          <t xml:space="preserve">
estimated from our egg data set</t>
        </r>
      </text>
    </comment>
    <comment ref="L1535" authorId="7" shapeId="0" xr:uid="{00000000-0006-0000-0000-0000FF060000}">
      <text>
        <r>
          <rPr>
            <b/>
            <sz val="9"/>
            <color indexed="81"/>
            <rFont val="Tahoma"/>
            <family val="2"/>
          </rPr>
          <t>JEnnen:</t>
        </r>
        <r>
          <rPr>
            <sz val="9"/>
            <color indexed="81"/>
            <rFont val="Tahoma"/>
            <family val="2"/>
          </rPr>
          <t xml:space="preserve">
1-2</t>
        </r>
      </text>
    </comment>
    <comment ref="J1537" authorId="869" shapeId="0" xr:uid="{00000000-0006-0000-0000-00000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Iverson 1984</t>
        </r>
      </text>
    </comment>
    <comment ref="I1538" authorId="870" shapeId="0" xr:uid="{00000000-0006-0000-0000-00000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Iverson 1984</t>
        </r>
      </text>
    </comment>
    <comment ref="L1539" authorId="7" shapeId="0" xr:uid="{00000000-0006-0000-0000-000002070000}">
      <text>
        <r>
          <rPr>
            <b/>
            <sz val="9"/>
            <color indexed="81"/>
            <rFont val="Tahoma"/>
            <family val="2"/>
          </rPr>
          <t>JEnnen:</t>
        </r>
        <r>
          <rPr>
            <sz val="9"/>
            <color indexed="81"/>
            <rFont val="Tahoma"/>
            <family val="2"/>
          </rPr>
          <t xml:space="preserve">
1-5</t>
        </r>
      </text>
    </comment>
    <comment ref="P1539" authorId="871" shapeId="0" xr:uid="{00000000-0006-0000-0000-00000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egg regression database (Oct 2020)</t>
        </r>
      </text>
    </comment>
    <comment ref="I1540" authorId="872" shapeId="0" xr:uid="{00000000-0006-0000-0000-000004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0.2212*CL^2.902 (Iverson 1984)</t>
        </r>
      </text>
    </comment>
    <comment ref="J1541" authorId="10" shapeId="0" xr:uid="{00000000-0006-0000-0000-000005070000}">
      <text>
        <r>
          <rPr>
            <b/>
            <sz val="9"/>
            <color indexed="81"/>
            <rFont val="Arial"/>
            <family val="2"/>
          </rPr>
          <t>John Iverson:</t>
        </r>
        <r>
          <rPr>
            <sz val="9"/>
            <color indexed="81"/>
            <rFont val="Arial"/>
            <family val="2"/>
          </rPr>
          <t xml:space="preserve">
estmated from BM-CL data in Iverson 2010</t>
        </r>
      </text>
    </comment>
    <comment ref="P1541" authorId="10" shapeId="0" xr:uid="{00000000-0006-0000-0000-000006070000}">
      <text>
        <r>
          <rPr>
            <b/>
            <sz val="9"/>
            <color indexed="81"/>
            <rFont val="Arial"/>
            <family val="2"/>
          </rPr>
          <t>John Iverson:</t>
        </r>
        <r>
          <rPr>
            <sz val="9"/>
            <color indexed="81"/>
            <rFont val="Arial"/>
            <family val="2"/>
          </rPr>
          <t xml:space="preserve">
estimated from our egg data set</t>
        </r>
      </text>
    </comment>
    <comment ref="I1542" authorId="10" shapeId="0" xr:uid="{00000000-0006-0000-0000-000007070000}">
      <text>
        <r>
          <rPr>
            <b/>
            <sz val="9"/>
            <color indexed="81"/>
            <rFont val="Arial"/>
            <family val="2"/>
          </rPr>
          <t>John Iverson:</t>
        </r>
        <r>
          <rPr>
            <sz val="9"/>
            <color indexed="81"/>
            <rFont val="Arial"/>
            <family val="2"/>
          </rPr>
          <t xml:space="preserve">
estimated from Fig. 3 in original paper</t>
        </r>
      </text>
    </comment>
    <comment ref="J1542" authorId="873" shapeId="0" xr:uid="{00000000-0006-0000-0000-00000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0.2212*CL^2.902 (Iverson 1984)</t>
        </r>
      </text>
    </comment>
    <comment ref="I1543" authorId="874" shapeId="0" xr:uid="{00000000-0006-0000-0000-00000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0.2212*CL^2.902 (Iverson 1984)</t>
        </r>
      </text>
    </comment>
    <comment ref="J1543" authorId="10" shapeId="0" xr:uid="{00000000-0006-0000-0000-00000A070000}">
      <text>
        <r>
          <rPr>
            <b/>
            <sz val="9"/>
            <color indexed="81"/>
            <rFont val="Arial"/>
            <family val="2"/>
          </rPr>
          <t>John Iverson:</t>
        </r>
        <r>
          <rPr>
            <sz val="9"/>
            <color indexed="81"/>
            <rFont val="Arial"/>
            <family val="2"/>
          </rPr>
          <t xml:space="preserve">
estimated as spent body mass plus clutch mass</t>
        </r>
      </text>
    </comment>
    <comment ref="J1544" authorId="875" shapeId="0" xr:uid="{00000000-0006-0000-0000-00000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0.2212*CL^2.902 (Iverson 1984)</t>
        </r>
      </text>
    </comment>
    <comment ref="K1545" authorId="7" shapeId="0" xr:uid="{00000000-0006-0000-0000-00000C070000}">
      <text>
        <r>
          <rPr>
            <b/>
            <sz val="9"/>
            <color indexed="81"/>
            <rFont val="Tahoma"/>
            <family val="2"/>
          </rPr>
          <t>JEnnen:</t>
        </r>
        <r>
          <rPr>
            <sz val="9"/>
            <color indexed="81"/>
            <rFont val="Tahoma"/>
            <family val="2"/>
          </rPr>
          <t xml:space="preserve">
6-8 reported</t>
        </r>
      </text>
    </comment>
    <comment ref="T1547" authorId="7" shapeId="0" xr:uid="{00000000-0006-0000-0000-00000D070000}">
      <text>
        <r>
          <rPr>
            <b/>
            <sz val="9"/>
            <color indexed="81"/>
            <rFont val="Tahoma"/>
            <family val="2"/>
          </rPr>
          <t>JEnnen:</t>
        </r>
        <r>
          <rPr>
            <sz val="9"/>
            <color indexed="81"/>
            <rFont val="Tahoma"/>
            <family val="2"/>
          </rPr>
          <t xml:space="preserve">
1-4 reported</t>
        </r>
      </text>
    </comment>
    <comment ref="T1548" authorId="7" shapeId="0" xr:uid="{00000000-0006-0000-0000-00000E070000}">
      <text>
        <r>
          <rPr>
            <b/>
            <sz val="9"/>
            <color indexed="81"/>
            <rFont val="Tahoma"/>
            <family val="2"/>
          </rPr>
          <t>JEnnen:</t>
        </r>
        <r>
          <rPr>
            <sz val="9"/>
            <color indexed="81"/>
            <rFont val="Tahoma"/>
            <family val="2"/>
          </rPr>
          <t xml:space="preserve">
2-3 usually reported</t>
        </r>
      </text>
    </comment>
    <comment ref="P1550" authorId="876" shapeId="0" xr:uid="{00000000-0006-0000-0000-00000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I1551" authorId="877" shapeId="0" xr:uid="{00000000-0006-0000-0000-00001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0.2212*CL^2.902 (Iverson 1984)</t>
        </r>
      </text>
    </comment>
    <comment ref="P1552" authorId="10" shapeId="0" xr:uid="{00000000-0006-0000-0000-000011070000}">
      <text>
        <r>
          <rPr>
            <b/>
            <sz val="9"/>
            <color indexed="81"/>
            <rFont val="Arial"/>
            <family val="2"/>
          </rPr>
          <t>John Iverson:</t>
        </r>
        <r>
          <rPr>
            <sz val="9"/>
            <color indexed="81"/>
            <rFont val="Arial"/>
            <family val="2"/>
          </rPr>
          <t xml:space="preserve">
estimated from our egg data set</t>
        </r>
      </text>
    </comment>
    <comment ref="J1553" authorId="878" shapeId="0" xr:uid="{00000000-0006-0000-0000-00001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 from BM = 0.2212*CL^2.902 (Iverson 1984)</t>
        </r>
      </text>
    </comment>
    <comment ref="P1555" authorId="879" shapeId="0" xr:uid="{00000000-0006-0000-0000-00001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T1555" authorId="7" shapeId="0" xr:uid="{00000000-0006-0000-0000-000014070000}">
      <text>
        <r>
          <rPr>
            <b/>
            <sz val="9"/>
            <color indexed="81"/>
            <rFont val="Tahoma"/>
            <family val="2"/>
          </rPr>
          <t>JEnnen:</t>
        </r>
        <r>
          <rPr>
            <sz val="9"/>
            <color indexed="81"/>
            <rFont val="Tahoma"/>
            <family val="2"/>
          </rPr>
          <t xml:space="preserve">
1-2 reported</t>
        </r>
      </text>
    </comment>
    <comment ref="T1556" authorId="7" shapeId="0" xr:uid="{00000000-0006-0000-0000-000015070000}">
      <text>
        <r>
          <rPr>
            <b/>
            <sz val="9"/>
            <color indexed="81"/>
            <rFont val="Tahoma"/>
            <family val="2"/>
          </rPr>
          <t>JEnnen:</t>
        </r>
        <r>
          <rPr>
            <sz val="9"/>
            <color indexed="81"/>
            <rFont val="Tahoma"/>
            <family val="2"/>
          </rPr>
          <t xml:space="preserve">
3-4 reported</t>
        </r>
      </text>
    </comment>
    <comment ref="J1557" authorId="10" shapeId="0" xr:uid="{00000000-0006-0000-0000-000016070000}">
      <text>
        <r>
          <rPr>
            <b/>
            <sz val="9"/>
            <color indexed="81"/>
            <rFont val="Arial"/>
            <family val="2"/>
          </rPr>
          <t>John Iverson:</t>
        </r>
        <r>
          <rPr>
            <sz val="9"/>
            <color indexed="81"/>
            <rFont val="Arial"/>
            <family val="2"/>
          </rPr>
          <t xml:space="preserve">
Post nest = 670; gravid estimated as CM plus post nest mass</t>
        </r>
      </text>
    </comment>
    <comment ref="L1558" authorId="7" shapeId="0" xr:uid="{00000000-0006-0000-0000-000017070000}">
      <text>
        <r>
          <rPr>
            <b/>
            <sz val="9"/>
            <color indexed="81"/>
            <rFont val="Tahoma"/>
            <family val="2"/>
          </rPr>
          <t>JEnnen:</t>
        </r>
        <r>
          <rPr>
            <sz val="9"/>
            <color indexed="81"/>
            <rFont val="Tahoma"/>
            <family val="2"/>
          </rPr>
          <t xml:space="preserve">
2-4
</t>
        </r>
      </text>
    </comment>
    <comment ref="P1558" authorId="880" shapeId="0" xr:uid="{00000000-0006-0000-0000-00001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7.4-9.9 by taking median</t>
        </r>
      </text>
    </comment>
    <comment ref="T1558" authorId="7" shapeId="0" xr:uid="{00000000-0006-0000-0000-000019070000}">
      <text>
        <r>
          <rPr>
            <b/>
            <sz val="9"/>
            <color indexed="81"/>
            <rFont val="Tahoma"/>
            <family val="2"/>
          </rPr>
          <t>JEnnen:</t>
        </r>
        <r>
          <rPr>
            <sz val="9"/>
            <color indexed="81"/>
            <rFont val="Tahoma"/>
            <family val="2"/>
          </rPr>
          <t xml:space="preserve">
1-4 reported</t>
        </r>
      </text>
    </comment>
    <comment ref="O1559" authorId="881" shapeId="0" xr:uid="{00000000-0006-0000-0000-00001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0.9303x - 9.9663 Iverson Unpublished data</t>
        </r>
      </text>
    </comment>
    <comment ref="L1560" authorId="7" shapeId="0" xr:uid="{00000000-0006-0000-0000-00001B070000}">
      <text>
        <r>
          <rPr>
            <b/>
            <sz val="9"/>
            <color indexed="81"/>
            <rFont val="Tahoma"/>
            <family val="2"/>
          </rPr>
          <t>JEnnen:</t>
        </r>
        <r>
          <rPr>
            <sz val="9"/>
            <color indexed="81"/>
            <rFont val="Tahoma"/>
            <family val="2"/>
          </rPr>
          <t xml:space="preserve">
2-6</t>
        </r>
      </text>
    </comment>
    <comment ref="P1560" authorId="11" shapeId="0" xr:uid="{00000000-0006-0000-0000-00001C070000}">
      <text>
        <r>
          <rPr>
            <b/>
            <sz val="9"/>
            <color indexed="81"/>
            <rFont val="Tahoma"/>
            <family val="2"/>
          </rPr>
          <t>TNACI:</t>
        </r>
        <r>
          <rPr>
            <sz val="9"/>
            <color indexed="81"/>
            <rFont val="Tahoma"/>
            <family val="2"/>
          </rPr>
          <t xml:space="preserve">
estimated by EM = 0.218EL +0.696EW - 13.083 Iverson unpublished data</t>
        </r>
      </text>
    </comment>
    <comment ref="P1561" authorId="882" shapeId="0" xr:uid="{00000000-0006-0000-0000-00001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J1562" authorId="883" shapeId="0" xr:uid="{00000000-0006-0000-0000-00001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K. hirtipes</t>
        </r>
      </text>
    </comment>
    <comment ref="P1562" authorId="884" shapeId="0" xr:uid="{00000000-0006-0000-0000-00001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esimated from our egg regression database (Jan 2021)</t>
        </r>
      </text>
    </comment>
    <comment ref="J1563" authorId="885" shapeId="0" xr:uid="{00000000-0006-0000-0000-00002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K. hirtipes</t>
        </r>
      </text>
    </comment>
    <comment ref="I1564" authorId="886" shapeId="0" xr:uid="{00000000-0006-0000-0000-00002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11.15-12.5 by taking the median</t>
        </r>
      </text>
    </comment>
    <comment ref="J1564" authorId="887" shapeId="0" xr:uid="{00000000-0006-0000-0000-00002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dataset using Kinosternon hirtipes from Iverson unpublished</t>
        </r>
      </text>
    </comment>
    <comment ref="J1565" authorId="888" shapeId="0" xr:uid="{00000000-0006-0000-0000-00002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dataset using Kinosternon hirtipes from Iverson unpublished</t>
        </r>
      </text>
    </comment>
    <comment ref="N1565" authorId="889" shapeId="0" xr:uid="{00000000-0006-0000-0000-000024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P1565" authorId="890" shapeId="0" xr:uid="{00000000-0006-0000-0000-00002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7.91g; estimated from egg regression database using K. intergrum (Oct 2020)</t>
        </r>
      </text>
    </comment>
    <comment ref="N1566" authorId="891" shapeId="0" xr:uid="{00000000-0006-0000-0000-000026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O1566" authorId="11" shapeId="0" xr:uid="{00000000-0006-0000-0000-000027070000}">
      <text>
        <r>
          <rPr>
            <b/>
            <sz val="9"/>
            <color indexed="81"/>
            <rFont val="Tahoma"/>
            <family val="2"/>
          </rPr>
          <t>TNACI:</t>
        </r>
        <r>
          <rPr>
            <sz val="9"/>
            <color indexed="81"/>
            <rFont val="Tahoma"/>
            <family val="2"/>
          </rPr>
          <t xml:space="preserve">
repro card has 17.35</t>
        </r>
      </text>
    </comment>
    <comment ref="N1567" authorId="892" shapeId="0" xr:uid="{00000000-0006-0000-0000-00002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N1568" authorId="893" shapeId="0" xr:uid="{00000000-0006-0000-0000-00002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N1569" authorId="894" shapeId="0" xr:uid="{00000000-0006-0000-0000-00002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N1570" authorId="895" shapeId="0" xr:uid="{00000000-0006-0000-0000-00002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T1570" authorId="896" shapeId="0" xr:uid="{00000000-0006-0000-0000-00002C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t>
        </r>
      </text>
    </comment>
    <comment ref="N1571" authorId="897" shapeId="0" xr:uid="{00000000-0006-0000-0000-00002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N1572" authorId="898" shapeId="0" xr:uid="{00000000-0006-0000-0000-00002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N1573" authorId="899" shapeId="0" xr:uid="{00000000-0006-0000-0000-00002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N1574" authorId="900" shapeId="0" xr:uid="{00000000-0006-0000-0000-00003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N1575" authorId="901" shapeId="0" xr:uid="{00000000-0006-0000-0000-00003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Kinosternon integrum</t>
        </r>
      </text>
    </comment>
    <comment ref="J1576" authorId="902" shapeId="0" xr:uid="{00000000-0006-0000-0000-00003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BM-CL regression dataset using Kinosternon hirtipes from Iverson unpublished</t>
        </r>
      </text>
    </comment>
    <comment ref="K1578" authorId="7" shapeId="0" xr:uid="{00000000-0006-0000-0000-000033070000}">
      <text>
        <r>
          <rPr>
            <b/>
            <sz val="9"/>
            <color indexed="81"/>
            <rFont val="Tahoma"/>
            <family val="2"/>
          </rPr>
          <t>JEnnen:</t>
        </r>
        <r>
          <rPr>
            <sz val="9"/>
            <color indexed="81"/>
            <rFont val="Tahoma"/>
            <family val="2"/>
          </rPr>
          <t xml:space="preserve">
3-4 reported</t>
        </r>
      </text>
    </comment>
    <comment ref="P1580" authorId="903" shapeId="0" xr:uid="{00000000-0006-0000-0000-000034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K. subrubrum.</t>
        </r>
      </text>
    </comment>
    <comment ref="D1581" authorId="904" shapeId="0" xr:uid="{00000000-0006-0000-0000-000035070000}">
      <text>
        <r>
          <rPr>
            <sz val="10"/>
            <color rgb="FF000000"/>
            <rFont val="Arial"/>
            <family val="2"/>
          </rPr>
          <t xml:space="preserve">
Comment:
    stejnegeri is senior synonym of arizonense.</t>
        </r>
      </text>
    </comment>
    <comment ref="J1581" authorId="905" shapeId="0" xr:uid="{00000000-0006-0000-0000-000036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Iverson 1984</t>
        </r>
      </text>
    </comment>
    <comment ref="K1581" authorId="7" shapeId="0" xr:uid="{00000000-0006-0000-0000-000037070000}">
      <text>
        <r>
          <rPr>
            <b/>
            <sz val="9"/>
            <color indexed="81"/>
            <rFont val="Tahoma"/>
            <family val="2"/>
          </rPr>
          <t>JEnnen:</t>
        </r>
        <r>
          <rPr>
            <sz val="9"/>
            <color indexed="81"/>
            <rFont val="Tahoma"/>
            <family val="2"/>
          </rPr>
          <t xml:space="preserve">
6-10 reported</t>
        </r>
      </text>
    </comment>
    <comment ref="J1585" authorId="906" shapeId="0" xr:uid="{00000000-0006-0000-0000-00003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K1585" authorId="7" shapeId="0" xr:uid="{00000000-0006-0000-0000-000039070000}">
      <text>
        <r>
          <rPr>
            <b/>
            <sz val="9"/>
            <color indexed="81"/>
            <rFont val="Tahoma"/>
            <family val="2"/>
          </rPr>
          <t>JEnnen:</t>
        </r>
        <r>
          <rPr>
            <sz val="9"/>
            <color indexed="81"/>
            <rFont val="Tahoma"/>
            <family val="2"/>
          </rPr>
          <t xml:space="preserve">
5-8 reported</t>
        </r>
      </text>
    </comment>
    <comment ref="J1586" authorId="907" shapeId="0" xr:uid="{00000000-0006-0000-0000-00003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T1586" authorId="7" shapeId="0" xr:uid="{00000000-0006-0000-0000-00003B070000}">
      <text>
        <r>
          <rPr>
            <b/>
            <sz val="9"/>
            <color indexed="81"/>
            <rFont val="Tahoma"/>
            <family val="2"/>
          </rPr>
          <t>JEnnen:</t>
        </r>
        <r>
          <rPr>
            <sz val="9"/>
            <color indexed="81"/>
            <rFont val="Tahoma"/>
            <family val="2"/>
          </rPr>
          <t xml:space="preserve">
2-3 reported</t>
        </r>
      </text>
    </comment>
    <comment ref="I1587" authorId="908" shapeId="0" xr:uid="{00000000-0006-0000-0000-00003C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8.5; SCL estiamted from PL/CL (0.96004)</t>
        </r>
      </text>
    </comment>
    <comment ref="J1587" authorId="909" shapeId="0" xr:uid="{00000000-0006-0000-0000-00003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J1588" authorId="910" shapeId="0" xr:uid="{00000000-0006-0000-0000-00003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G1589" authorId="911" shapeId="0" xr:uid="{00000000-0006-0000-0000-00003F070000}">
      <text>
        <r>
          <rPr>
            <sz val="10"/>
            <color rgb="FF000000"/>
            <rFont val="Arial"/>
            <family val="2"/>
          </rPr>
          <t xml:space="preserve">
Comment:
    estimated from 30.0 to 31.0</t>
        </r>
      </text>
    </comment>
    <comment ref="P1589" authorId="912" shapeId="0" xr:uid="{00000000-0006-0000-0000-00004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T1589" authorId="7" shapeId="0" xr:uid="{00000000-0006-0000-0000-000041070000}">
      <text>
        <r>
          <rPr>
            <b/>
            <sz val="9"/>
            <color indexed="81"/>
            <rFont val="Tahoma"/>
            <family val="2"/>
          </rPr>
          <t>JEnnen:</t>
        </r>
        <r>
          <rPr>
            <sz val="9"/>
            <color indexed="81"/>
            <rFont val="Tahoma"/>
            <family val="2"/>
          </rPr>
          <t xml:space="preserve">
2-3 reported</t>
        </r>
      </text>
    </comment>
    <comment ref="I1590" authorId="913" shapeId="0" xr:uid="{00000000-0006-0000-0000-00004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9.249</t>
        </r>
      </text>
    </comment>
    <comment ref="J1590" authorId="914" shapeId="0" xr:uid="{00000000-0006-0000-0000-00004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K1590" authorId="7" shapeId="0" xr:uid="{00000000-0006-0000-0000-000044070000}">
      <text>
        <r>
          <rPr>
            <b/>
            <sz val="9"/>
            <color indexed="81"/>
            <rFont val="Tahoma"/>
            <family val="2"/>
          </rPr>
          <t>JEnnen:</t>
        </r>
        <r>
          <rPr>
            <sz val="9"/>
            <color indexed="81"/>
            <rFont val="Tahoma"/>
            <family val="2"/>
          </rPr>
          <t xml:space="preserve">
6-8 reported</t>
        </r>
      </text>
    </comment>
    <comment ref="P1590" authorId="915" shapeId="0" xr:uid="{00000000-0006-0000-0000-00004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(SEPT 2020)</t>
        </r>
      </text>
    </comment>
    <comment ref="G1591" authorId="916" shapeId="0" xr:uid="{00000000-0006-0000-0000-000046070000}">
      <text>
        <r>
          <rPr>
            <sz val="10"/>
            <color rgb="FF000000"/>
            <rFont val="Arial"/>
            <family val="2"/>
          </rPr>
          <t xml:space="preserve">
Comment:
    estimated ca. 34</t>
        </r>
      </text>
    </comment>
    <comment ref="P1591" authorId="917" shapeId="0" xr:uid="{00000000-0006-0000-0000-000047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(SEPT 2020)</t>
        </r>
      </text>
    </comment>
    <comment ref="I1593" authorId="918" shapeId="0" xr:uid="{00000000-0006-0000-0000-00004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J1593" authorId="919" shapeId="0" xr:uid="{00000000-0006-0000-0000-00004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P1594" authorId="920" shapeId="0" xr:uid="{00000000-0006-0000-0000-00004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(SEPT 2020)</t>
        </r>
      </text>
    </comment>
    <comment ref="J1595" authorId="921" shapeId="0" xr:uid="{00000000-0006-0000-0000-00004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P1595" authorId="922" shapeId="0" xr:uid="{00000000-0006-0000-0000-00004C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mass table</t>
        </r>
      </text>
    </comment>
    <comment ref="P1597" authorId="923" shapeId="0" xr:uid="{00000000-0006-0000-0000-00004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(SEPT 2020)</t>
        </r>
      </text>
    </comment>
    <comment ref="I1598" authorId="924" shapeId="0" xr:uid="{00000000-0006-0000-0000-00004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8.749; SCL estiamted from PL/CL (0.96004)</t>
        </r>
      </text>
    </comment>
    <comment ref="J1598" authorId="925" shapeId="0" xr:uid="{00000000-0006-0000-0000-00004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0.002032*CL^2.4917 (Etchberger pers com)</t>
        </r>
      </text>
    </comment>
    <comment ref="P1598" authorId="926" shapeId="0" xr:uid="{00000000-0006-0000-0000-00005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0.6189x - 5.6106 Iverson unpublished data</t>
        </r>
      </text>
    </comment>
    <comment ref="P1599" authorId="927" shapeId="0" xr:uid="{00000000-0006-0000-0000-00005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K. subrubrum (Oct 2020)</t>
        </r>
      </text>
    </comment>
    <comment ref="O1600" authorId="928" shapeId="0" xr:uid="{00000000-0006-0000-0000-00005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18-20 by taking median</t>
        </r>
      </text>
    </comment>
    <comment ref="P1600" authorId="929" shapeId="0" xr:uid="{00000000-0006-0000-0000-00005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17-19 by taking median. this number must be incorrect.</t>
        </r>
      </text>
    </comment>
    <comment ref="T1601" authorId="7" shapeId="0" xr:uid="{00000000-0006-0000-0000-000054070000}">
      <text>
        <r>
          <rPr>
            <b/>
            <sz val="9"/>
            <color indexed="81"/>
            <rFont val="Tahoma"/>
            <family val="2"/>
          </rPr>
          <t>JEnnen:</t>
        </r>
        <r>
          <rPr>
            <sz val="9"/>
            <color indexed="81"/>
            <rFont val="Tahoma"/>
            <family val="2"/>
          </rPr>
          <t xml:space="preserve">
3-4 reported</t>
        </r>
      </text>
    </comment>
    <comment ref="J1602" authorId="930" shapeId="0" xr:uid="{00000000-0006-0000-0000-00005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from Iverson 1984</t>
        </r>
      </text>
    </comment>
    <comment ref="L1606" authorId="7" shapeId="0" xr:uid="{00000000-0006-0000-0000-000056070000}">
      <text>
        <r>
          <rPr>
            <b/>
            <sz val="9"/>
            <color indexed="81"/>
            <rFont val="Tahoma"/>
            <family val="2"/>
          </rPr>
          <t>JEnnen:</t>
        </r>
        <r>
          <rPr>
            <sz val="9"/>
            <color indexed="81"/>
            <rFont val="Tahoma"/>
            <family val="2"/>
          </rPr>
          <t xml:space="preserve">
4-5</t>
        </r>
      </text>
    </comment>
    <comment ref="T1606" authorId="7" shapeId="0" xr:uid="{00000000-0006-0000-0000-000057070000}">
      <text>
        <r>
          <rPr>
            <b/>
            <sz val="9"/>
            <color indexed="81"/>
            <rFont val="Tahoma"/>
            <family val="2"/>
          </rPr>
          <t>JEnnen:</t>
        </r>
        <r>
          <rPr>
            <sz val="9"/>
            <color indexed="81"/>
            <rFont val="Tahoma"/>
            <family val="2"/>
          </rPr>
          <t xml:space="preserve">
2-3 reported</t>
        </r>
      </text>
    </comment>
    <comment ref="P1610" authorId="931" shapeId="0" xr:uid="{00000000-0006-0000-0000-00005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(Oct 2020)</t>
        </r>
      </text>
    </comment>
    <comment ref="L1611" authorId="932" shapeId="0" xr:uid="{00000000-0006-0000-0000-000059070000}">
      <text>
        <r>
          <rPr>
            <sz val="10"/>
            <color rgb="FF000000"/>
            <rFont val="Arial"/>
            <family val="2"/>
          </rPr>
          <t xml:space="preserve">
Comment:
    at least 2</t>
        </r>
      </text>
    </comment>
    <comment ref="L1612" authorId="7" shapeId="0" xr:uid="{00000000-0006-0000-0000-00005A070000}">
      <text>
        <r>
          <rPr>
            <b/>
            <sz val="9"/>
            <color indexed="81"/>
            <rFont val="Tahoma"/>
            <family val="2"/>
          </rPr>
          <t>JEnnen:</t>
        </r>
        <r>
          <rPr>
            <sz val="9"/>
            <color indexed="81"/>
            <rFont val="Tahoma"/>
            <family val="2"/>
          </rPr>
          <t xml:space="preserve">
3-10</t>
        </r>
      </text>
    </comment>
    <comment ref="P1612" authorId="933" shapeId="0" xr:uid="{00000000-0006-0000-0000-00005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(Oct 2020)</t>
        </r>
      </text>
    </comment>
    <comment ref="K1613" authorId="7" shapeId="0" xr:uid="{00000000-0006-0000-0000-00005C070000}">
      <text>
        <r>
          <rPr>
            <b/>
            <sz val="9"/>
            <color indexed="81"/>
            <rFont val="Tahoma"/>
            <family val="2"/>
          </rPr>
          <t>JEnnen:</t>
        </r>
        <r>
          <rPr>
            <sz val="9"/>
            <color indexed="81"/>
            <rFont val="Tahoma"/>
            <family val="2"/>
          </rPr>
          <t xml:space="preserve">
5-6 reported</t>
        </r>
      </text>
    </comment>
    <comment ref="L1613" authorId="934" shapeId="0" xr:uid="{00000000-0006-0000-0000-00005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2</t>
        </r>
      </text>
    </comment>
    <comment ref="O1613" authorId="935" shapeId="0" xr:uid="{00000000-0006-0000-0000-00005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0.413EL + 1.192EW - 30.980 Iverson unpublished data</t>
        </r>
      </text>
    </comment>
    <comment ref="T1615" authorId="7" shapeId="0" xr:uid="{00000000-0006-0000-0000-00005F070000}">
      <text>
        <r>
          <rPr>
            <b/>
            <sz val="9"/>
            <color indexed="81"/>
            <rFont val="Tahoma"/>
            <family val="2"/>
          </rPr>
          <t>JEnnen:</t>
        </r>
        <r>
          <rPr>
            <sz val="9"/>
            <color indexed="81"/>
            <rFont val="Tahoma"/>
            <family val="2"/>
          </rPr>
          <t xml:space="preserve">
3-4 reported</t>
        </r>
      </text>
    </comment>
    <comment ref="I1617" authorId="936" shapeId="0" xr:uid="{00000000-0006-0000-0000-00006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Max CL = 40</t>
        </r>
      </text>
    </comment>
    <comment ref="P1617" authorId="937" shapeId="0" xr:uid="{00000000-0006-0000-0000-00006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1.9459x - 31.577 Iverson unpublished data</t>
        </r>
      </text>
    </comment>
    <comment ref="P1618" authorId="938" shapeId="0" xr:uid="{00000000-0006-0000-0000-00006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L1620" authorId="939" shapeId="0" xr:uid="{00000000-0006-0000-0000-00006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rarely 3</t>
        </r>
      </text>
    </comment>
    <comment ref="N1620" authorId="940" shapeId="0" xr:uid="{00000000-0006-0000-0000-000064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30-36 by taking median</t>
        </r>
      </text>
    </comment>
    <comment ref="K1621" authorId="7" shapeId="0" xr:uid="{00000000-0006-0000-0000-000065070000}">
      <text>
        <r>
          <rPr>
            <b/>
            <sz val="9"/>
            <color indexed="81"/>
            <rFont val="Tahoma"/>
            <family val="2"/>
          </rPr>
          <t>JEnnen:</t>
        </r>
        <r>
          <rPr>
            <sz val="9"/>
            <color indexed="81"/>
            <rFont val="Tahoma"/>
            <family val="2"/>
          </rPr>
          <t xml:space="preserve">
5-6 reproted</t>
        </r>
      </text>
    </comment>
    <comment ref="G1623" authorId="941" shapeId="0" xr:uid="{00000000-0006-0000-0000-000066070000}">
      <text>
        <r>
          <rPr>
            <sz val="10"/>
            <color rgb="FF000000"/>
            <rFont val="Arial"/>
            <family val="2"/>
          </rPr>
          <t xml:space="preserve">
Comment:
    estimated ca. 34</t>
        </r>
      </text>
    </comment>
    <comment ref="P1623" authorId="942" shapeId="0" xr:uid="{00000000-0006-0000-0000-000067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P1625" authorId="943" shapeId="0" xr:uid="{00000000-0006-0000-0000-00006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data set for S. minor.</t>
        </r>
      </text>
    </comment>
    <comment ref="K1626" authorId="10" shapeId="0" xr:uid="{00000000-0006-0000-0000-000069070000}">
      <text>
        <r>
          <rPr>
            <b/>
            <sz val="9"/>
            <color indexed="81"/>
            <rFont val="Arial"/>
            <family val="2"/>
          </rPr>
          <t>John Iverson:</t>
        </r>
        <r>
          <rPr>
            <sz val="9"/>
            <color indexed="81"/>
            <rFont val="Arial"/>
            <family val="2"/>
          </rPr>
          <t xml:space="preserve">
paper reports 12-15 yrs - impossible</t>
        </r>
      </text>
    </comment>
    <comment ref="K1627" authorId="944" shapeId="0" xr:uid="{00000000-0006-0000-0000-00006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6-8</t>
        </r>
      </text>
    </comment>
    <comment ref="P1628" authorId="945" shapeId="0" xr:uid="{00000000-0006-0000-0000-00006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S. minor (Oct 2020)</t>
        </r>
      </text>
    </comment>
    <comment ref="J1629" authorId="10" shapeId="0" xr:uid="{00000000-0006-0000-0000-00006C070000}">
      <text>
        <r>
          <rPr>
            <b/>
            <sz val="9"/>
            <color indexed="81"/>
            <rFont val="Arial"/>
            <family val="2"/>
          </rPr>
          <t>John Iverson:</t>
        </r>
        <r>
          <rPr>
            <sz val="9"/>
            <color indexed="81"/>
            <rFont val="Arial"/>
            <family val="2"/>
          </rPr>
          <t xml:space="preserve">
Estimated from BM-CL data for S. minor.</t>
        </r>
      </text>
    </comment>
    <comment ref="I1633" authorId="11" shapeId="0" xr:uid="{00000000-0006-0000-0000-00006D070000}">
      <text>
        <r>
          <rPr>
            <b/>
            <sz val="9"/>
            <color indexed="81"/>
            <rFont val="Tahoma"/>
            <family val="2"/>
          </rPr>
          <t>TNACI:</t>
        </r>
        <r>
          <rPr>
            <sz val="9"/>
            <color indexed="81"/>
            <rFont val="Tahoma"/>
            <family val="2"/>
          </rPr>
          <t xml:space="preserve">
Estimated from BM/CL ratio from Iverson 1984</t>
        </r>
      </text>
    </comment>
    <comment ref="L1634" authorId="7" shapeId="0" xr:uid="{00000000-0006-0000-0000-00006E070000}">
      <text>
        <r>
          <rPr>
            <b/>
            <sz val="9"/>
            <color indexed="81"/>
            <rFont val="Tahoma"/>
            <family val="2"/>
          </rPr>
          <t>JEnnen:</t>
        </r>
        <r>
          <rPr>
            <sz val="9"/>
            <color indexed="81"/>
            <rFont val="Tahoma"/>
            <family val="2"/>
          </rPr>
          <t xml:space="preserve">
2-3
</t>
        </r>
      </text>
    </comment>
    <comment ref="N1634" authorId="7" shapeId="0" xr:uid="{00000000-0006-0000-0000-00006F070000}">
      <text>
        <r>
          <rPr>
            <b/>
            <sz val="9"/>
            <color indexed="81"/>
            <rFont val="Tahoma"/>
            <family val="2"/>
          </rPr>
          <t>JEnnen:</t>
        </r>
        <r>
          <rPr>
            <sz val="9"/>
            <color indexed="81"/>
            <rFont val="Tahoma"/>
            <family val="2"/>
          </rPr>
          <t xml:space="preserve">
27-35 reported</t>
        </r>
      </text>
    </comment>
    <comment ref="O1634" authorId="7" shapeId="0" xr:uid="{00000000-0006-0000-0000-000070070000}">
      <text>
        <r>
          <rPr>
            <b/>
            <sz val="9"/>
            <color indexed="81"/>
            <rFont val="Tahoma"/>
            <family val="2"/>
          </rPr>
          <t>JEnnen:</t>
        </r>
        <r>
          <rPr>
            <sz val="9"/>
            <color indexed="81"/>
            <rFont val="Tahoma"/>
            <family val="2"/>
          </rPr>
          <t xml:space="preserve">
14.5-19.0 reported</t>
        </r>
      </text>
    </comment>
    <comment ref="P1634" authorId="7" shapeId="0" xr:uid="{00000000-0006-0000-0000-000071070000}">
      <text>
        <r>
          <rPr>
            <b/>
            <sz val="9"/>
            <color indexed="81"/>
            <rFont val="Tahoma"/>
            <family val="2"/>
          </rPr>
          <t>JEnnen:</t>
        </r>
        <r>
          <rPr>
            <sz val="9"/>
            <color indexed="81"/>
            <rFont val="Tahoma"/>
            <family val="2"/>
          </rPr>
          <t xml:space="preserve">
4-7 reported</t>
        </r>
      </text>
    </comment>
    <comment ref="T1634" authorId="7" shapeId="0" xr:uid="{00000000-0006-0000-0000-000072070000}">
      <text>
        <r>
          <rPr>
            <b/>
            <sz val="9"/>
            <color indexed="81"/>
            <rFont val="Tahoma"/>
            <family val="2"/>
          </rPr>
          <t>JEnnen:</t>
        </r>
        <r>
          <rPr>
            <sz val="9"/>
            <color indexed="81"/>
            <rFont val="Tahoma"/>
            <family val="2"/>
          </rPr>
          <t xml:space="preserve">
3-4 reported </t>
        </r>
      </text>
    </comment>
    <comment ref="L1635" authorId="7" shapeId="0" xr:uid="{00000000-0006-0000-0000-000073070000}">
      <text>
        <r>
          <rPr>
            <b/>
            <sz val="9"/>
            <color indexed="81"/>
            <rFont val="Tahoma"/>
            <family val="2"/>
          </rPr>
          <t>JEnnen:</t>
        </r>
        <r>
          <rPr>
            <sz val="9"/>
            <color indexed="81"/>
            <rFont val="Tahoma"/>
            <family val="2"/>
          </rPr>
          <t xml:space="preserve">
3-4</t>
        </r>
      </text>
    </comment>
    <comment ref="N1635" authorId="7" shapeId="0" xr:uid="{00000000-0006-0000-0000-000074070000}">
      <text>
        <r>
          <rPr>
            <b/>
            <sz val="9"/>
            <color indexed="81"/>
            <rFont val="Tahoma"/>
            <family val="2"/>
          </rPr>
          <t>JEnnen:</t>
        </r>
        <r>
          <rPr>
            <sz val="9"/>
            <color indexed="81"/>
            <rFont val="Tahoma"/>
            <family val="2"/>
          </rPr>
          <t xml:space="preserve">
27-35 reported</t>
        </r>
      </text>
    </comment>
    <comment ref="O1635" authorId="7" shapeId="0" xr:uid="{00000000-0006-0000-0000-000075070000}">
      <text>
        <r>
          <rPr>
            <b/>
            <sz val="9"/>
            <color indexed="81"/>
            <rFont val="Tahoma"/>
            <family val="2"/>
          </rPr>
          <t>JEnnen:</t>
        </r>
        <r>
          <rPr>
            <sz val="9"/>
            <color indexed="81"/>
            <rFont val="Tahoma"/>
            <family val="2"/>
          </rPr>
          <t xml:space="preserve">
14.5-18.8 reported</t>
        </r>
      </text>
    </comment>
    <comment ref="P1635" authorId="946" shapeId="0" xr:uid="{00000000-0006-0000-0000-000076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5.16g; estimated from egg regression database (Oct 2020)</t>
        </r>
      </text>
    </comment>
    <comment ref="J1636" authorId="947" shapeId="0" xr:uid="{00000000-0006-0000-0000-000077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John Iverson:
estimated from BM-CL data in Mosimann 1956</t>
        </r>
      </text>
    </comment>
    <comment ref="P1636" authorId="948" shapeId="0" xr:uid="{00000000-0006-0000-0000-00007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Egg mass estimated from our egg data for S. minor</t>
        </r>
      </text>
    </comment>
    <comment ref="I1637" authorId="949" shapeId="0" xr:uid="{00000000-0006-0000-0000-00007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PL/CL calculated from 0.7874;  PL data in figure 1</t>
        </r>
      </text>
    </comment>
    <comment ref="J1637" authorId="950" shapeId="0" xr:uid="{00000000-0006-0000-0000-00007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BL-CL regression using Nolan 1991 (Jan 2021)</t>
        </r>
      </text>
    </comment>
    <comment ref="K1637" authorId="7" shapeId="0" xr:uid="{00000000-0006-0000-0000-00007B070000}">
      <text>
        <r>
          <rPr>
            <b/>
            <sz val="9"/>
            <color indexed="81"/>
            <rFont val="Tahoma"/>
            <family val="2"/>
          </rPr>
          <t>JEnnen:</t>
        </r>
        <r>
          <rPr>
            <sz val="9"/>
            <color indexed="81"/>
            <rFont val="Tahoma"/>
            <family val="2"/>
          </rPr>
          <t xml:space="preserve">
5-6 reported</t>
        </r>
      </text>
    </comment>
    <comment ref="P1637" authorId="951" shapeId="0" xr:uid="{00000000-0006-0000-0000-00007C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(Jan 2021)</t>
        </r>
      </text>
    </comment>
    <comment ref="P1639" authorId="952" shapeId="0" xr:uid="{00000000-0006-0000-0000-00007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5.16g; estimated from egg regression database (Oct 2020)</t>
        </r>
      </text>
    </comment>
    <comment ref="P1640" authorId="953" shapeId="0" xr:uid="{00000000-0006-0000-0000-00007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5.16g; estimated from egg regression database (Oct 2020)</t>
        </r>
      </text>
    </comment>
    <comment ref="I1641" authorId="10" shapeId="0" xr:uid="{00000000-0006-0000-0000-00007F070000}">
      <text>
        <r>
          <rPr>
            <b/>
            <sz val="9"/>
            <color indexed="81"/>
            <rFont val="Arial"/>
            <family val="2"/>
          </rPr>
          <t>John Iverson:</t>
        </r>
        <r>
          <rPr>
            <sz val="9"/>
            <color indexed="81"/>
            <rFont val="Arial"/>
            <family val="2"/>
          </rPr>
          <t xml:space="preserve">
estimated from Fig. 51 for females &gt; 6 cm</t>
        </r>
      </text>
    </comment>
    <comment ref="J1641" authorId="10" shapeId="0" xr:uid="{00000000-0006-0000-0000-000080070000}">
      <text>
        <r>
          <rPr>
            <b/>
            <sz val="9"/>
            <color indexed="81"/>
            <rFont val="Arial"/>
            <family val="2"/>
          </rPr>
          <t>John Iverson:</t>
        </r>
        <r>
          <rPr>
            <sz val="9"/>
            <color indexed="81"/>
            <rFont val="Arial"/>
            <family val="2"/>
          </rPr>
          <t xml:space="preserve">
estimated from BM-CL data in Mosimann 1956</t>
        </r>
      </text>
    </comment>
    <comment ref="K1641" authorId="7" shapeId="0" xr:uid="{00000000-0006-0000-0000-000081070000}">
      <text>
        <r>
          <rPr>
            <b/>
            <sz val="9"/>
            <color indexed="81"/>
            <rFont val="Tahoma"/>
            <family val="2"/>
          </rPr>
          <t>JEnnen:</t>
        </r>
        <r>
          <rPr>
            <sz val="9"/>
            <color indexed="81"/>
            <rFont val="Tahoma"/>
            <family val="2"/>
          </rPr>
          <t xml:space="preserve">
3-5 reported</t>
        </r>
      </text>
    </comment>
    <comment ref="I1647" authorId="10" shapeId="0" xr:uid="{00000000-0006-0000-0000-000082070000}">
      <text>
        <r>
          <rPr>
            <b/>
            <sz val="9"/>
            <color indexed="81"/>
            <rFont val="Arial"/>
            <family val="2"/>
          </rPr>
          <t>John Iverson:</t>
        </r>
        <r>
          <rPr>
            <sz val="9"/>
            <color indexed="81"/>
            <rFont val="Arial"/>
            <family val="2"/>
          </rPr>
          <t xml:space="preserve">
   PL estimated from Fig. 30 = 6.90; CL estimated from PL/CL ratio for 113 females from Indiana at 0.7793 (Iverson unpublished)</t>
        </r>
      </text>
    </comment>
    <comment ref="J1647" authorId="10" shapeId="0" xr:uid="{00000000-0006-0000-0000-000083070000}">
      <text>
        <r>
          <rPr>
            <b/>
            <sz val="9"/>
            <color indexed="81"/>
            <rFont val="Arial"/>
            <family val="2"/>
          </rPr>
          <t>John Iverson:</t>
        </r>
        <r>
          <rPr>
            <sz val="9"/>
            <color indexed="81"/>
            <rFont val="Arial"/>
            <family val="2"/>
          </rPr>
          <t xml:space="preserve">
estimated from our BM-CL data set from Iverson unpublished</t>
        </r>
      </text>
    </comment>
    <comment ref="L1647" authorId="10" shapeId="0" xr:uid="{00000000-0006-0000-0000-000084070000}">
      <text>
        <r>
          <rPr>
            <b/>
            <sz val="9"/>
            <color indexed="81"/>
            <rFont val="Arial"/>
            <family val="2"/>
          </rPr>
          <t>John Iverson:</t>
        </r>
        <r>
          <rPr>
            <sz val="9"/>
            <color indexed="81"/>
            <rFont val="Arial"/>
            <family val="2"/>
          </rPr>
          <t xml:space="preserve">
estimated from Fig. 30</t>
        </r>
      </text>
    </comment>
    <comment ref="P1653" authorId="954" shapeId="0" xr:uid="{00000000-0006-0000-0000-00008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Iverson unpublised data (Dec 2020)</t>
        </r>
      </text>
    </comment>
    <comment ref="P1654" authorId="955" shapeId="0" xr:uid="{00000000-0006-0000-0000-000086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Iverson unpublised data (Dec 2020)</t>
        </r>
      </text>
    </comment>
    <comment ref="P1655" authorId="956" shapeId="0" xr:uid="{00000000-0006-0000-0000-000087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Iverson unpublised data (Dec 2020)</t>
        </r>
      </text>
    </comment>
    <comment ref="N1656" authorId="10" shapeId="0" xr:uid="{00000000-0006-0000-0000-000088070000}">
      <text>
        <r>
          <rPr>
            <b/>
            <sz val="9"/>
            <color indexed="81"/>
            <rFont val="Arial"/>
            <family val="2"/>
          </rPr>
          <t>John Iverson:</t>
        </r>
        <r>
          <rPr>
            <sz val="9"/>
            <color indexed="81"/>
            <rFont val="Arial"/>
            <family val="2"/>
          </rPr>
          <t xml:space="preserve">
estimated from our egg data base</t>
        </r>
      </text>
    </comment>
    <comment ref="O1656" authorId="10" shapeId="0" xr:uid="{00000000-0006-0000-0000-000089070000}">
      <text>
        <r>
          <rPr>
            <b/>
            <sz val="9"/>
            <color indexed="81"/>
            <rFont val="Arial"/>
            <family val="2"/>
          </rPr>
          <t>John Iverson:</t>
        </r>
        <r>
          <rPr>
            <sz val="9"/>
            <color indexed="81"/>
            <rFont val="Arial"/>
            <family val="2"/>
          </rPr>
          <t xml:space="preserve">
estimated from our egg data base</t>
        </r>
      </text>
    </comment>
    <comment ref="J1658" authorId="10" shapeId="0" xr:uid="{00000000-0006-0000-0000-00008A070000}">
      <text>
        <r>
          <rPr>
            <b/>
            <sz val="9"/>
            <color indexed="81"/>
            <rFont val="Arial"/>
            <family val="2"/>
          </rPr>
          <t>John Iverson:</t>
        </r>
        <r>
          <rPr>
            <sz val="9"/>
            <color indexed="81"/>
            <rFont val="Arial"/>
            <family val="2"/>
          </rPr>
          <t xml:space="preserve">
estimated from BM-CL data in Mosimann 1956</t>
        </r>
      </text>
    </comment>
    <comment ref="P1658" authorId="957" shapeId="0" xr:uid="{00000000-0006-0000-0000-00008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Iverson unpublised data (Dec 2020)</t>
        </r>
      </text>
    </comment>
    <comment ref="P1659" authorId="958" shapeId="0" xr:uid="{00000000-0006-0000-0000-00008C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Iverson unpublised data (Dec 2020)</t>
        </r>
      </text>
    </comment>
    <comment ref="J1660" authorId="10" shapeId="0" xr:uid="{00000000-0006-0000-0000-00008D070000}">
      <text>
        <r>
          <rPr>
            <b/>
            <sz val="9"/>
            <color indexed="81"/>
            <rFont val="Arial"/>
            <family val="2"/>
          </rPr>
          <t>John Iverson:</t>
        </r>
        <r>
          <rPr>
            <sz val="9"/>
            <color indexed="81"/>
            <rFont val="Arial"/>
            <family val="2"/>
          </rPr>
          <t xml:space="preserve">
estimated from spent BM plus clutch mass</t>
        </r>
      </text>
    </comment>
    <comment ref="L1660" authorId="959" shapeId="0" xr:uid="{00000000-0006-0000-0000-00008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2</t>
        </r>
      </text>
    </comment>
    <comment ref="N1660" authorId="960" shapeId="0" xr:uid="{00000000-0006-0000-0000-00008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(Sept 2020)</t>
        </r>
      </text>
    </comment>
    <comment ref="O1660" authorId="961" shapeId="0" xr:uid="{00000000-0006-0000-0000-00009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(Sept 2020)</t>
        </r>
      </text>
    </comment>
    <comment ref="J1661" authorId="10" shapeId="0" xr:uid="{00000000-0006-0000-0000-000091070000}">
      <text>
        <r>
          <rPr>
            <b/>
            <sz val="9"/>
            <color indexed="81"/>
            <rFont val="Arial"/>
            <family val="2"/>
          </rPr>
          <t>John Iverson:</t>
        </r>
        <r>
          <rPr>
            <sz val="9"/>
            <color indexed="81"/>
            <rFont val="Arial"/>
            <family val="2"/>
          </rPr>
          <t xml:space="preserve">
estiated by adding spent BM to clutch mass</t>
        </r>
      </text>
    </comment>
    <comment ref="N1661" authorId="962" shapeId="0" xr:uid="{00000000-0006-0000-0000-00009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(Sept 2020)</t>
        </r>
      </text>
    </comment>
    <comment ref="O1661" authorId="963" shapeId="0" xr:uid="{00000000-0006-0000-0000-00009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(Sept 2020)</t>
        </r>
      </text>
    </comment>
    <comment ref="I1663" authorId="964" shapeId="0" xr:uid="{00000000-0006-0000-0000-000094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8.2; CL estimated from PL/CL ratio for 113 females from Indiana at 0.7793 (Iverson unpublished)</t>
        </r>
      </text>
    </comment>
    <comment ref="J1663" authorId="965" shapeId="0" xr:uid="{00000000-0006-0000-0000-00009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0.2473*CL^2.766 Mosimann 1956</t>
        </r>
      </text>
    </comment>
    <comment ref="J1664" authorId="966" shapeId="0" xr:uid="{00000000-0006-0000-0000-000096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0.2473*CL^2.766 Mosimann 1956</t>
        </r>
      </text>
    </comment>
    <comment ref="P1664" authorId="11" shapeId="0" xr:uid="{00000000-0006-0000-0000-000097070000}">
      <text>
        <r>
          <rPr>
            <b/>
            <sz val="9"/>
            <color indexed="81"/>
            <rFont val="Tahoma"/>
            <family val="2"/>
          </rPr>
          <t>TNACI:</t>
        </r>
        <r>
          <rPr>
            <sz val="9"/>
            <color indexed="81"/>
            <rFont val="Tahoma"/>
            <family val="2"/>
          </rPr>
          <t xml:space="preserve">
estimate from EM = 0.186EL + 0.485EW - 8.426 Iveron unpublished data</t>
        </r>
      </text>
    </comment>
    <comment ref="S1664" authorId="967" shapeId="0" xr:uid="{00000000-0006-0000-0000-00009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P1665" authorId="968" shapeId="0" xr:uid="{00000000-0006-0000-0000-00009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L1666" authorId="7" shapeId="0" xr:uid="{00000000-0006-0000-0000-00009A070000}">
      <text>
        <r>
          <rPr>
            <b/>
            <sz val="9"/>
            <color indexed="81"/>
            <rFont val="Tahoma"/>
            <family val="2"/>
          </rPr>
          <t>JEnnen:</t>
        </r>
        <r>
          <rPr>
            <sz val="9"/>
            <color indexed="81"/>
            <rFont val="Tahoma"/>
            <family val="2"/>
          </rPr>
          <t xml:space="preserve">
2-4
</t>
        </r>
      </text>
    </comment>
    <comment ref="J1667" authorId="969" shapeId="0" xr:uid="{00000000-0006-0000-0000-00009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0.2473*CL^2.766 Mosimann 1956</t>
        </r>
      </text>
    </comment>
    <comment ref="I1668" authorId="10" shapeId="0" xr:uid="{00000000-0006-0000-0000-00009C070000}">
      <text>
        <r>
          <rPr>
            <b/>
            <sz val="9"/>
            <color indexed="81"/>
            <rFont val="Arial"/>
            <family val="2"/>
          </rPr>
          <t>John Iverson:</t>
        </r>
        <r>
          <rPr>
            <sz val="9"/>
            <color indexed="81"/>
            <rFont val="Arial"/>
            <family val="2"/>
          </rPr>
          <t xml:space="preserve">
calculated by unpublished data from Iverson</t>
        </r>
      </text>
    </comment>
    <comment ref="J1668" authorId="10" shapeId="0" xr:uid="{00000000-0006-0000-0000-00009D070000}">
      <text>
        <r>
          <rPr>
            <b/>
            <sz val="9"/>
            <color indexed="81"/>
            <rFont val="Arial"/>
            <family val="2"/>
          </rPr>
          <t>John Iverson:</t>
        </r>
        <r>
          <rPr>
            <sz val="9"/>
            <color indexed="81"/>
            <rFont val="Arial"/>
            <family val="2"/>
          </rPr>
          <t xml:space="preserve">
estimated from BM-CL data in Mosimann 1956</t>
        </r>
      </text>
    </comment>
    <comment ref="O1668" authorId="10" shapeId="0" xr:uid="{00000000-0006-0000-0000-00009E070000}">
      <text>
        <r>
          <rPr>
            <b/>
            <sz val="9"/>
            <color indexed="81"/>
            <rFont val="Arial"/>
            <family val="2"/>
          </rPr>
          <t>John Iverson:</t>
        </r>
        <r>
          <rPr>
            <sz val="9"/>
            <color indexed="81"/>
            <rFont val="Arial"/>
            <family val="2"/>
          </rPr>
          <t xml:space="preserve">
estimated from our egg data set</t>
        </r>
      </text>
    </comment>
    <comment ref="P1668" authorId="10" shapeId="0" xr:uid="{00000000-0006-0000-0000-00009F070000}">
      <text>
        <r>
          <rPr>
            <b/>
            <sz val="9"/>
            <color indexed="81"/>
            <rFont val="Arial"/>
            <family val="2"/>
          </rPr>
          <t>John Iverson:</t>
        </r>
        <r>
          <rPr>
            <sz val="9"/>
            <color indexed="81"/>
            <rFont val="Arial"/>
            <family val="2"/>
          </rPr>
          <t xml:space="preserve">
estimated from our egg data set</t>
        </r>
      </text>
    </comment>
    <comment ref="T1668" authorId="7" shapeId="0" xr:uid="{00000000-0006-0000-0000-0000A0070000}">
      <text>
        <r>
          <rPr>
            <b/>
            <sz val="9"/>
            <color indexed="81"/>
            <rFont val="Tahoma"/>
            <family val="2"/>
          </rPr>
          <t>JEnnen:</t>
        </r>
        <r>
          <rPr>
            <sz val="9"/>
            <color indexed="81"/>
            <rFont val="Tahoma"/>
            <family val="2"/>
          </rPr>
          <t xml:space="preserve">
3-4 reported </t>
        </r>
      </text>
    </comment>
    <comment ref="J1669" authorId="970" shapeId="0" xr:uid="{00000000-0006-0000-0000-0000A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0.2473*CL^2.766 Mosimann 1956</t>
        </r>
      </text>
    </comment>
    <comment ref="J1670" authorId="10" shapeId="0" xr:uid="{00000000-0006-0000-0000-0000A2070000}">
      <text>
        <r>
          <rPr>
            <b/>
            <sz val="9"/>
            <color indexed="81"/>
            <rFont val="Arial"/>
            <family val="2"/>
          </rPr>
          <t>John Iverson:</t>
        </r>
        <r>
          <rPr>
            <sz val="9"/>
            <color indexed="81"/>
            <rFont val="Arial"/>
            <family val="2"/>
          </rPr>
          <t xml:space="preserve">
Estimated from Mosimann 1956 curve</t>
        </r>
      </text>
    </comment>
    <comment ref="N1670" authorId="10" shapeId="0" xr:uid="{00000000-0006-0000-0000-0000A3070000}">
      <text>
        <r>
          <rPr>
            <b/>
            <sz val="9"/>
            <color indexed="81"/>
            <rFont val="Arial"/>
            <family val="2"/>
          </rPr>
          <t>John Iverson:</t>
        </r>
        <r>
          <rPr>
            <sz val="9"/>
            <color indexed="81"/>
            <rFont val="Arial"/>
            <family val="2"/>
          </rPr>
          <t xml:space="preserve">
estimated from our egg data set</t>
        </r>
      </text>
    </comment>
    <comment ref="O1670" authorId="10" shapeId="0" xr:uid="{00000000-0006-0000-0000-0000A4070000}">
      <text>
        <r>
          <rPr>
            <b/>
            <sz val="9"/>
            <color indexed="81"/>
            <rFont val="Arial"/>
            <family val="2"/>
          </rPr>
          <t>John Iverson:</t>
        </r>
        <r>
          <rPr>
            <sz val="9"/>
            <color indexed="81"/>
            <rFont val="Arial"/>
            <family val="2"/>
          </rPr>
          <t xml:space="preserve">
estimated from Fig. 2B</t>
        </r>
      </text>
    </comment>
    <comment ref="P1670" authorId="10" shapeId="0" xr:uid="{00000000-0006-0000-0000-0000A5070000}">
      <text>
        <r>
          <rPr>
            <b/>
            <sz val="9"/>
            <color indexed="81"/>
            <rFont val="Arial"/>
            <family val="2"/>
          </rPr>
          <t>John Iverson:</t>
        </r>
        <r>
          <rPr>
            <sz val="9"/>
            <color indexed="81"/>
            <rFont val="Arial"/>
            <family val="2"/>
          </rPr>
          <t xml:space="preserve">
estimated from our egg data set</t>
        </r>
      </text>
    </comment>
    <comment ref="K1672" authorId="7" shapeId="0" xr:uid="{00000000-0006-0000-0000-0000A6070000}">
      <text>
        <r>
          <rPr>
            <b/>
            <sz val="9"/>
            <color indexed="81"/>
            <rFont val="Tahoma"/>
            <family val="2"/>
          </rPr>
          <t>JEnnen:</t>
        </r>
        <r>
          <rPr>
            <sz val="9"/>
            <color indexed="81"/>
            <rFont val="Tahoma"/>
            <family val="2"/>
          </rPr>
          <t xml:space="preserve">
5-8 reported</t>
        </r>
      </text>
    </comment>
    <comment ref="P1672" authorId="10" shapeId="0" xr:uid="{00000000-0006-0000-0000-0000A7070000}">
      <text>
        <r>
          <rPr>
            <b/>
            <sz val="9"/>
            <color indexed="81"/>
            <rFont val="Arial"/>
            <family val="2"/>
          </rPr>
          <t>John Iverson:</t>
        </r>
        <r>
          <rPr>
            <sz val="9"/>
            <color indexed="81"/>
            <rFont val="Arial"/>
            <family val="2"/>
          </rPr>
          <t xml:space="preserve">
estimated from our egg data set</t>
        </r>
      </text>
    </comment>
    <comment ref="J1673" authorId="971" shapeId="0" xr:uid="{00000000-0006-0000-0000-0000A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(July 2021)</t>
        </r>
      </text>
    </comment>
    <comment ref="P1673" authorId="972" shapeId="0" xr:uid="{00000000-0006-0000-0000-0000A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for this species (July 2021)</t>
        </r>
      </text>
    </comment>
    <comment ref="T1676" authorId="7" shapeId="0" xr:uid="{00000000-0006-0000-0000-0000AA070000}">
      <text>
        <r>
          <rPr>
            <b/>
            <sz val="9"/>
            <color indexed="81"/>
            <rFont val="Tahoma"/>
            <family val="2"/>
          </rPr>
          <t>JEnnen:</t>
        </r>
        <r>
          <rPr>
            <sz val="9"/>
            <color indexed="81"/>
            <rFont val="Tahoma"/>
            <family val="2"/>
          </rPr>
          <t xml:space="preserve">
3-4 reported </t>
        </r>
      </text>
    </comment>
    <comment ref="J1677" authorId="10" shapeId="0" xr:uid="{00000000-0006-0000-0000-0000AB070000}">
      <text>
        <r>
          <rPr>
            <b/>
            <sz val="9"/>
            <color indexed="81"/>
            <rFont val="Arial"/>
            <family val="2"/>
          </rPr>
          <t>John Iverson:</t>
        </r>
        <r>
          <rPr>
            <sz val="9"/>
            <color indexed="81"/>
            <rFont val="Arial"/>
            <family val="2"/>
          </rPr>
          <t xml:space="preserve">
estimated from BM-CL data in Mosimann 1956</t>
        </r>
      </text>
    </comment>
    <comment ref="P1677" authorId="10" shapeId="0" xr:uid="{00000000-0006-0000-0000-0000AC070000}">
      <text>
        <r>
          <rPr>
            <b/>
            <sz val="9"/>
            <color indexed="81"/>
            <rFont val="Arial"/>
            <family val="2"/>
          </rPr>
          <t>John Iverson:</t>
        </r>
        <r>
          <rPr>
            <sz val="9"/>
            <color indexed="81"/>
            <rFont val="Arial"/>
            <family val="2"/>
          </rPr>
          <t xml:space="preserve">
estimated from our egg data set</t>
        </r>
      </text>
    </comment>
    <comment ref="T1677" authorId="7" shapeId="0" xr:uid="{00000000-0006-0000-0000-0000AD070000}">
      <text>
        <r>
          <rPr>
            <b/>
            <sz val="9"/>
            <color indexed="81"/>
            <rFont val="Tahoma"/>
            <family val="2"/>
          </rPr>
          <t>JEnnen:</t>
        </r>
        <r>
          <rPr>
            <sz val="9"/>
            <color indexed="81"/>
            <rFont val="Tahoma"/>
            <family val="2"/>
          </rPr>
          <t xml:space="preserve">
3-4 reported </t>
        </r>
      </text>
    </comment>
    <comment ref="J1678" authorId="973" shapeId="0" xr:uid="{00000000-0006-0000-0000-0000A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0.1815*CL^2.766 Evermann and Clark 1916</t>
        </r>
      </text>
    </comment>
    <comment ref="R1678" authorId="974" shapeId="0" xr:uid="{00000000-0006-0000-0000-0000A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Card has 8.113g</t>
        </r>
      </text>
    </comment>
    <comment ref="J1679" authorId="975" shapeId="0" xr:uid="{00000000-0006-0000-0000-0000B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0.1815*CL^2.766 Evermann and Clark 1916</t>
        </r>
      </text>
    </comment>
    <comment ref="T1680" authorId="7" shapeId="0" xr:uid="{00000000-0006-0000-0000-0000B1070000}">
      <text>
        <r>
          <rPr>
            <b/>
            <sz val="9"/>
            <color indexed="81"/>
            <rFont val="Tahoma"/>
            <family val="2"/>
          </rPr>
          <t>JEnnen:</t>
        </r>
        <r>
          <rPr>
            <sz val="9"/>
            <color indexed="81"/>
            <rFont val="Tahoma"/>
            <family val="2"/>
          </rPr>
          <t xml:space="preserve">
1-2 reported</t>
        </r>
      </text>
    </comment>
    <comment ref="J1681" authorId="10" shapeId="0" xr:uid="{00000000-0006-0000-0000-0000B2070000}">
      <text>
        <r>
          <rPr>
            <b/>
            <sz val="9"/>
            <color indexed="81"/>
            <rFont val="Arial"/>
            <family val="2"/>
          </rPr>
          <t>John Iverson:</t>
        </r>
        <r>
          <rPr>
            <sz val="9"/>
            <color indexed="81"/>
            <rFont val="Arial"/>
            <family val="2"/>
          </rPr>
          <t xml:space="preserve">
estimated from BM-CL data set for S. odoratus</t>
        </r>
      </text>
    </comment>
    <comment ref="P1681" authorId="10" shapeId="0" xr:uid="{00000000-0006-0000-0000-0000B3070000}">
      <text>
        <r>
          <rPr>
            <b/>
            <sz val="9"/>
            <color indexed="81"/>
            <rFont val="Arial"/>
            <family val="2"/>
          </rPr>
          <t>John Iverson:</t>
        </r>
        <r>
          <rPr>
            <sz val="9"/>
            <color indexed="81"/>
            <rFont val="Arial"/>
            <family val="2"/>
          </rPr>
          <t xml:space="preserve">
estimated from our egg set for S. odoratus</t>
        </r>
      </text>
    </comment>
    <comment ref="J1683" authorId="976" shapeId="0" xr:uid="{00000000-0006-0000-0000-0000B4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0.1815*CL^2.766 Evermann and Clark 1916</t>
        </r>
      </text>
    </comment>
    <comment ref="P1683" authorId="977" shapeId="0" xr:uid="{00000000-0006-0000-0000-0000B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J1685" authorId="10" shapeId="0" xr:uid="{00000000-0006-0000-0000-0000B6070000}">
      <text>
        <r>
          <rPr>
            <b/>
            <sz val="9"/>
            <color indexed="81"/>
            <rFont val="Arial"/>
            <family val="2"/>
          </rPr>
          <t>John Iverson:</t>
        </r>
        <r>
          <rPr>
            <sz val="9"/>
            <color indexed="81"/>
            <rFont val="Arial"/>
            <family val="2"/>
          </rPr>
          <t xml:space="preserve">
estimated from BM-CL data in Mosimann 1956</t>
        </r>
      </text>
    </comment>
    <comment ref="P1685" authorId="10" shapeId="0" xr:uid="{00000000-0006-0000-0000-0000B7070000}">
      <text>
        <r>
          <rPr>
            <b/>
            <sz val="9"/>
            <color indexed="81"/>
            <rFont val="Arial"/>
            <family val="2"/>
          </rPr>
          <t>John Iverson:</t>
        </r>
        <r>
          <rPr>
            <sz val="9"/>
            <color indexed="81"/>
            <rFont val="Arial"/>
            <family val="2"/>
          </rPr>
          <t xml:space="preserve">
estimated from our egg data set</t>
        </r>
      </text>
    </comment>
    <comment ref="P1686" authorId="10" shapeId="0" xr:uid="{00000000-0006-0000-0000-0000B8070000}">
      <text>
        <r>
          <rPr>
            <b/>
            <sz val="9"/>
            <color indexed="81"/>
            <rFont val="Arial"/>
            <family val="2"/>
          </rPr>
          <t>John Iverson:</t>
        </r>
        <r>
          <rPr>
            <sz val="9"/>
            <color indexed="81"/>
            <rFont val="Arial"/>
            <family val="2"/>
          </rPr>
          <t xml:space="preserve">
estimated from our egg data set</t>
        </r>
      </text>
    </comment>
    <comment ref="P1687" authorId="10" shapeId="0" xr:uid="{00000000-0006-0000-0000-0000B9070000}">
      <text>
        <r>
          <rPr>
            <b/>
            <sz val="9"/>
            <color indexed="81"/>
            <rFont val="Arial"/>
            <family val="2"/>
          </rPr>
          <t>John Iverson:</t>
        </r>
        <r>
          <rPr>
            <sz val="9"/>
            <color indexed="81"/>
            <rFont val="Arial"/>
            <family val="2"/>
          </rPr>
          <t xml:space="preserve">
estimated from our egg data set</t>
        </r>
      </text>
    </comment>
    <comment ref="J1688" authorId="10" shapeId="0" xr:uid="{00000000-0006-0000-0000-0000BA070000}">
      <text>
        <r>
          <rPr>
            <b/>
            <sz val="9"/>
            <color indexed="81"/>
            <rFont val="Arial"/>
            <family val="2"/>
          </rPr>
          <t>John Iverson:</t>
        </r>
        <r>
          <rPr>
            <sz val="9"/>
            <color indexed="81"/>
            <rFont val="Arial"/>
            <family val="2"/>
          </rPr>
          <t xml:space="preserve">
estimated from BM-CL data in Mosimann 1956</t>
        </r>
      </text>
    </comment>
    <comment ref="P1688" authorId="10" shapeId="0" xr:uid="{00000000-0006-0000-0000-0000BB070000}">
      <text>
        <r>
          <rPr>
            <b/>
            <sz val="9"/>
            <color indexed="81"/>
            <rFont val="Arial"/>
            <family val="2"/>
          </rPr>
          <t>John Iverson:</t>
        </r>
        <r>
          <rPr>
            <sz val="9"/>
            <color indexed="81"/>
            <rFont val="Arial"/>
            <family val="2"/>
          </rPr>
          <t xml:space="preserve">
estimated from our egg data set</t>
        </r>
      </text>
    </comment>
    <comment ref="P1689" authorId="10" shapeId="0" xr:uid="{00000000-0006-0000-0000-0000BC070000}">
      <text>
        <r>
          <rPr>
            <b/>
            <sz val="9"/>
            <color indexed="81"/>
            <rFont val="Arial"/>
            <family val="2"/>
          </rPr>
          <t>John Iverson:</t>
        </r>
        <r>
          <rPr>
            <sz val="9"/>
            <color indexed="81"/>
            <rFont val="Arial"/>
            <family val="2"/>
          </rPr>
          <t xml:space="preserve">
Estimated</t>
        </r>
      </text>
    </comment>
    <comment ref="N1690" authorId="10" shapeId="0" xr:uid="{00000000-0006-0000-0000-0000BD070000}">
      <text>
        <r>
          <rPr>
            <b/>
            <sz val="9"/>
            <color indexed="81"/>
            <rFont val="Arial"/>
            <family val="2"/>
          </rPr>
          <t>John Iverson:</t>
        </r>
        <r>
          <rPr>
            <sz val="9"/>
            <color indexed="81"/>
            <rFont val="Arial"/>
            <family val="2"/>
          </rPr>
          <t xml:space="preserve">
Seems too small
estimated from range by taking median
</t>
        </r>
      </text>
    </comment>
    <comment ref="P1690" authorId="978" shapeId="0" xr:uid="{00000000-0006-0000-0000-0000B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2-4</t>
        </r>
      </text>
    </comment>
    <comment ref="T1690" authorId="7" shapeId="0" xr:uid="{00000000-0006-0000-0000-0000BF070000}">
      <text>
        <r>
          <rPr>
            <b/>
            <sz val="9"/>
            <color indexed="81"/>
            <rFont val="Tahoma"/>
            <family val="2"/>
          </rPr>
          <t>JEnnen:</t>
        </r>
        <r>
          <rPr>
            <sz val="9"/>
            <color indexed="81"/>
            <rFont val="Tahoma"/>
            <family val="2"/>
          </rPr>
          <t xml:space="preserve">
range 1-6</t>
        </r>
      </text>
    </comment>
    <comment ref="I1695" authorId="979" shapeId="0" xr:uid="{00000000-0006-0000-0000-0000C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7.82; CL estimated from PL/CL ratio for 113 females from Indiana at 0.7793 (Iverson unpublished)</t>
        </r>
      </text>
    </comment>
    <comment ref="J1695" authorId="980" shapeId="0" xr:uid="{00000000-0006-0000-0000-0000C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0.2473*CL^2.766 Mosimann 1956</t>
        </r>
      </text>
    </comment>
    <comment ref="P1695" authorId="981" shapeId="0" xr:uid="{00000000-0006-0000-0000-0000C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0.6189x - 5.6106 IVerson unpublished data</t>
        </r>
      </text>
    </comment>
    <comment ref="J1697" authorId="982" shapeId="0" xr:uid="{00000000-0006-0000-0000-0000C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relationship database (July 2021)</t>
        </r>
      </text>
    </comment>
    <comment ref="P1697" authorId="983" shapeId="0" xr:uid="{00000000-0006-0000-0000-0000C4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database using S. minor (July 2021)</t>
        </r>
      </text>
    </comment>
    <comment ref="D1701" authorId="10" shapeId="0" xr:uid="{00000000-0006-0000-0000-0000C5070000}">
      <text>
        <r>
          <rPr>
            <b/>
            <sz val="9"/>
            <color indexed="81"/>
            <rFont val="Arial"/>
            <family val="2"/>
          </rPr>
          <t>John Iverson:</t>
        </r>
        <r>
          <rPr>
            <sz val="9"/>
            <color indexed="81"/>
            <rFont val="Arial"/>
            <family val="2"/>
          </rPr>
          <t xml:space="preserve">
was subrufa</t>
        </r>
      </text>
    </comment>
    <comment ref="P1701" authorId="984" shapeId="0" xr:uid="{00000000-0006-0000-0000-0000C6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used the EL-EM plot/simple regression for subniger</t>
        </r>
      </text>
    </comment>
    <comment ref="P1702" authorId="985" shapeId="0" xr:uid="{00000000-0006-0000-0000-0000C7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t>
        </r>
      </text>
    </comment>
    <comment ref="P1706" authorId="986" shapeId="0" xr:uid="{00000000-0006-0000-0000-0000C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P. subrufa</t>
        </r>
      </text>
    </comment>
    <comment ref="P1707" authorId="987" shapeId="0" xr:uid="{00000000-0006-0000-0000-0000C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dataset using subrufa</t>
        </r>
      </text>
    </comment>
    <comment ref="P1708" authorId="988" shapeId="0" xr:uid="{00000000-0006-0000-0000-0000C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P. subrufa</t>
        </r>
      </text>
    </comment>
    <comment ref="K1711" authorId="7" shapeId="0" xr:uid="{00000000-0006-0000-0000-0000CB070000}">
      <text>
        <r>
          <rPr>
            <b/>
            <sz val="9"/>
            <color indexed="81"/>
            <rFont val="Tahoma"/>
            <family val="2"/>
          </rPr>
          <t>JEnnen:</t>
        </r>
        <r>
          <rPr>
            <sz val="9"/>
            <color indexed="81"/>
            <rFont val="Tahoma"/>
            <family val="2"/>
          </rPr>
          <t xml:space="preserve">
7-8 reported </t>
        </r>
      </text>
    </comment>
    <comment ref="P1711" authorId="989" shapeId="0" xr:uid="{00000000-0006-0000-0000-0000CC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J1713" authorId="990" shapeId="0" xr:uid="{00000000-0006-0000-0000-0000C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from Diagne and McGovern pers. communication (Aug 2020)</t>
        </r>
      </text>
    </comment>
    <comment ref="L1713" authorId="7" shapeId="0" xr:uid="{00000000-0006-0000-0000-0000CE070000}">
      <text>
        <r>
          <rPr>
            <b/>
            <sz val="9"/>
            <color indexed="81"/>
            <rFont val="Tahoma"/>
            <family val="2"/>
          </rPr>
          <t>JEnnen:</t>
        </r>
        <r>
          <rPr>
            <sz val="9"/>
            <color indexed="81"/>
            <rFont val="Tahoma"/>
            <family val="2"/>
          </rPr>
          <t xml:space="preserve">
7-10</t>
        </r>
      </text>
    </comment>
    <comment ref="T1713" authorId="7" shapeId="0" xr:uid="{00000000-0006-0000-0000-0000CF070000}">
      <text>
        <r>
          <rPr>
            <b/>
            <sz val="9"/>
            <color indexed="81"/>
            <rFont val="Tahoma"/>
            <family val="2"/>
          </rPr>
          <t>JEnnen:</t>
        </r>
        <r>
          <rPr>
            <sz val="9"/>
            <color indexed="81"/>
            <rFont val="Tahoma"/>
            <family val="2"/>
          </rPr>
          <t xml:space="preserve">
4-5 reported</t>
        </r>
      </text>
    </comment>
    <comment ref="P1714" authorId="10" shapeId="0" xr:uid="{00000000-0006-0000-0000-0000D0070000}">
      <text>
        <r>
          <rPr>
            <b/>
            <sz val="9"/>
            <color indexed="81"/>
            <rFont val="Arial"/>
            <family val="2"/>
          </rPr>
          <t>John Iverson:</t>
        </r>
        <r>
          <rPr>
            <sz val="9"/>
            <color indexed="81"/>
            <rFont val="Arial"/>
            <family val="2"/>
          </rPr>
          <t xml:space="preserve">
estimated from our egg data set for P. subniger</t>
        </r>
      </text>
    </comment>
    <comment ref="J1715" authorId="991" shapeId="0" xr:uid="{00000000-0006-0000-0000-0000D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from Diagne and McGovern pers. communication (Aug 2020)</t>
        </r>
      </text>
    </comment>
    <comment ref="N1715" authorId="992" shapeId="0" xr:uid="{00000000-0006-0000-0000-0000D2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29.5-33 range by taking median</t>
        </r>
      </text>
    </comment>
    <comment ref="O1715" authorId="993" shapeId="0" xr:uid="{00000000-0006-0000-0000-0000D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18-19 by taking median</t>
        </r>
      </text>
    </comment>
    <comment ref="P1715" authorId="10" shapeId="0" xr:uid="{00000000-0006-0000-0000-0000D4070000}">
      <text>
        <r>
          <rPr>
            <b/>
            <sz val="9"/>
            <color indexed="81"/>
            <rFont val="Arial"/>
            <family val="2"/>
          </rPr>
          <t>John Iverson:</t>
        </r>
        <r>
          <rPr>
            <sz val="9"/>
            <color indexed="81"/>
            <rFont val="Arial"/>
            <family val="2"/>
          </rPr>
          <t xml:space="preserve">
estimated from our egg data set for P. subniger</t>
        </r>
      </text>
    </comment>
    <comment ref="N1717" authorId="994" shapeId="0" xr:uid="{00000000-0006-0000-0000-0000D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Fig 16 in paper; range in text clearly erroneous; 21-23</t>
        </r>
      </text>
    </comment>
    <comment ref="O1717" authorId="995" shapeId="0" xr:uid="{00000000-0006-0000-0000-0000D6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Fig 16 in paper; range in text clearly erroneous; 13-15</t>
        </r>
      </text>
    </comment>
    <comment ref="P1717" authorId="10" shapeId="0" xr:uid="{00000000-0006-0000-0000-0000D7070000}">
      <text>
        <r>
          <rPr>
            <b/>
            <sz val="9"/>
            <color indexed="81"/>
            <rFont val="Arial"/>
            <family val="2"/>
          </rPr>
          <t>John Iverson:</t>
        </r>
        <r>
          <rPr>
            <sz val="9"/>
            <color indexed="81"/>
            <rFont val="Arial"/>
            <family val="2"/>
          </rPr>
          <t xml:space="preserve">
estimated from our egg data set for C. picta</t>
        </r>
      </text>
    </comment>
    <comment ref="P1718" authorId="996" shapeId="0" xr:uid="{00000000-0006-0000-0000-0000D8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P. subrufa</t>
        </r>
      </text>
    </comment>
    <comment ref="N1719" authorId="997" shapeId="0" xr:uid="{00000000-0006-0000-0000-0000D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36-39</t>
        </r>
      </text>
    </comment>
    <comment ref="O1719" authorId="998" shapeId="0" xr:uid="{00000000-0006-0000-0000-0000DA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21-26</t>
        </r>
      </text>
    </comment>
    <comment ref="P1719" authorId="999" shapeId="0" xr:uid="{00000000-0006-0000-0000-0000D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Reply:
    reported 9.47-13.43</t>
        </r>
      </text>
    </comment>
    <comment ref="T1720" authorId="7" shapeId="0" xr:uid="{00000000-0006-0000-0000-0000DC070000}">
      <text>
        <r>
          <rPr>
            <b/>
            <sz val="9"/>
            <color indexed="81"/>
            <rFont val="Tahoma"/>
            <family val="2"/>
          </rPr>
          <t>JEnnen:</t>
        </r>
        <r>
          <rPr>
            <sz val="9"/>
            <color indexed="81"/>
            <rFont val="Tahoma"/>
            <family val="2"/>
          </rPr>
          <t xml:space="preserve">
1-2 reported</t>
        </r>
      </text>
    </comment>
    <comment ref="L1721" authorId="7" shapeId="0" xr:uid="{00000000-0006-0000-0000-0000DD070000}">
      <text>
        <r>
          <rPr>
            <b/>
            <sz val="9"/>
            <color indexed="81"/>
            <rFont val="Tahoma"/>
            <family val="2"/>
          </rPr>
          <t>JEnnen:</t>
        </r>
        <r>
          <rPr>
            <sz val="9"/>
            <color indexed="81"/>
            <rFont val="Tahoma"/>
            <family val="2"/>
          </rPr>
          <t xml:space="preserve">
1-9</t>
        </r>
      </text>
    </comment>
    <comment ref="P1724" authorId="1000" shapeId="0" xr:uid="{00000000-0006-0000-0000-0000D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P. subniger (SEPT 2020)</t>
        </r>
      </text>
    </comment>
    <comment ref="O1726" authorId="10" shapeId="0" xr:uid="{00000000-0006-0000-0000-0000DF070000}">
      <text>
        <r>
          <rPr>
            <b/>
            <sz val="9"/>
            <color indexed="81"/>
            <rFont val="Arial"/>
            <family val="2"/>
          </rPr>
          <t>John Iverson:</t>
        </r>
        <r>
          <rPr>
            <sz val="9"/>
            <color indexed="81"/>
            <rFont val="Arial"/>
            <family val="2"/>
          </rPr>
          <t xml:space="preserve">
EL = 31.5</t>
        </r>
      </text>
    </comment>
    <comment ref="P1726" authorId="1001" shapeId="0" xr:uid="{00000000-0006-0000-0000-0000E0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P. sinuatus (Oct 2020)</t>
        </r>
      </text>
    </comment>
    <comment ref="K1727" authorId="1002" shapeId="0" xr:uid="{00000000-0006-0000-0000-0000E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2-3 reported</t>
        </r>
      </text>
    </comment>
    <comment ref="L1730" authorId="7" shapeId="0" xr:uid="{00000000-0006-0000-0000-0000E2070000}">
      <text>
        <r>
          <rPr>
            <b/>
            <sz val="9"/>
            <color indexed="81"/>
            <rFont val="Tahoma"/>
            <family val="2"/>
          </rPr>
          <t>JEnnen:</t>
        </r>
        <r>
          <rPr>
            <sz val="9"/>
            <color indexed="81"/>
            <rFont val="Tahoma"/>
            <family val="2"/>
          </rPr>
          <t xml:space="preserve">
"about a dozen"</t>
        </r>
      </text>
    </comment>
    <comment ref="P1730" authorId="1003" shapeId="0" xr:uid="{00000000-0006-0000-0000-0000E3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Pelusios sinuatus (DEC 2020)</t>
        </r>
      </text>
    </comment>
    <comment ref="P1734" authorId="10" shapeId="0" xr:uid="{00000000-0006-0000-0000-0000E4070000}">
      <text>
        <r>
          <rPr>
            <b/>
            <sz val="9"/>
            <color indexed="81"/>
            <rFont val="Arial"/>
            <family val="2"/>
          </rPr>
          <t>John Iverson:</t>
        </r>
        <r>
          <rPr>
            <sz val="9"/>
            <color indexed="81"/>
            <rFont val="Arial"/>
            <family val="2"/>
          </rPr>
          <t xml:space="preserve">
estimated fron our egg data set for P. subniger</t>
        </r>
      </text>
    </comment>
    <comment ref="L1735" authorId="1004" shapeId="0" xr:uid="{00000000-0006-0000-0000-0000E5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6-10</t>
        </r>
      </text>
    </comment>
    <comment ref="J1736" authorId="11" shapeId="0" xr:uid="{00000000-0006-0000-0000-0000E6070000}">
      <text>
        <r>
          <rPr>
            <b/>
            <sz val="9"/>
            <color indexed="81"/>
            <rFont val="Tahoma"/>
            <family val="2"/>
          </rPr>
          <t>TNACI:</t>
        </r>
        <r>
          <rPr>
            <sz val="9"/>
            <color indexed="81"/>
            <rFont val="Tahoma"/>
            <family val="2"/>
          </rPr>
          <t xml:space="preserve">
Not provided on card.</t>
        </r>
      </text>
    </comment>
    <comment ref="N1736" authorId="1005" shapeId="0" xr:uid="{00000000-0006-0000-0000-0000E7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at 35</t>
        </r>
      </text>
    </comment>
    <comment ref="O1736" authorId="10" shapeId="0" xr:uid="{00000000-0006-0000-0000-0000E8070000}">
      <text>
        <r>
          <rPr>
            <b/>
            <sz val="9"/>
            <color indexed="81"/>
            <rFont val="Arial"/>
            <family val="2"/>
          </rPr>
          <t>John Iverson:</t>
        </r>
        <r>
          <rPr>
            <sz val="9"/>
            <color indexed="81"/>
            <rFont val="Arial"/>
            <family val="2"/>
          </rPr>
          <t xml:space="preserve">
EL = ~35</t>
        </r>
      </text>
    </comment>
    <comment ref="P1736" authorId="1006" shapeId="0" xr:uid="{00000000-0006-0000-0000-0000E9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P. subniger  (Ewert pers. comm.)</t>
        </r>
      </text>
    </comment>
    <comment ref="S1736" authorId="1" shapeId="0" xr:uid="{00000000-0006-0000-0000-0000EA070000}">
      <text>
        <r>
          <rPr>
            <sz val="10"/>
            <color rgb="FF000000"/>
            <rFont val="Arial"/>
            <family val="2"/>
          </rPr>
          <t>Estimated from clutch mass and body mass
	-Joshua Ennen</t>
        </r>
      </text>
    </comment>
    <comment ref="J1737" authorId="1007" shapeId="0" xr:uid="{00000000-0006-0000-0000-0000E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genus</t>
        </r>
      </text>
    </comment>
    <comment ref="O1737" authorId="1008" shapeId="0" xr:uid="{00000000-0006-0000-0000-0000EC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22-23 by taking median</t>
        </r>
      </text>
    </comment>
    <comment ref="J1738" authorId="1009" shapeId="0" xr:uid="{00000000-0006-0000-0000-0000ED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genus</t>
        </r>
      </text>
    </comment>
    <comment ref="L1740" authorId="11" shapeId="0" xr:uid="{00000000-0006-0000-0000-0000EE070000}">
      <text>
        <r>
          <rPr>
            <b/>
            <sz val="9"/>
            <color indexed="81"/>
            <rFont val="Tahoma"/>
            <family val="2"/>
          </rPr>
          <t>TNACI:</t>
        </r>
        <r>
          <rPr>
            <sz val="9"/>
            <color indexed="81"/>
            <rFont val="Tahoma"/>
            <family val="2"/>
          </rPr>
          <t xml:space="preserve">
Card say est. 10 but also gives range.
"7-30</t>
        </r>
      </text>
    </comment>
    <comment ref="I1741" authorId="1010" shapeId="0" xr:uid="{00000000-0006-0000-0000-0000E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about 40 cm CL</t>
        </r>
      </text>
    </comment>
    <comment ref="P1741" authorId="10" shapeId="0" xr:uid="{00000000-0006-0000-0000-0000F0070000}">
      <text>
        <r>
          <rPr>
            <b/>
            <sz val="9"/>
            <color indexed="81"/>
            <rFont val="Arial"/>
            <family val="2"/>
          </rPr>
          <t>John Iverson:</t>
        </r>
        <r>
          <rPr>
            <sz val="9"/>
            <color indexed="81"/>
            <rFont val="Arial"/>
            <family val="2"/>
          </rPr>
          <t xml:space="preserve">
estimated from our egg data set</t>
        </r>
      </text>
    </comment>
    <comment ref="K1743" authorId="1011" shapeId="0" xr:uid="{00000000-0006-0000-0000-0000F1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4-5 reported</t>
        </r>
      </text>
    </comment>
    <comment ref="I1744" authorId="10" shapeId="0" xr:uid="{00000000-0006-0000-0000-0000F2070000}">
      <text>
        <r>
          <rPr>
            <b/>
            <sz val="9"/>
            <color indexed="81"/>
            <rFont val="Arial"/>
            <family val="2"/>
          </rPr>
          <t>John Iverson:</t>
        </r>
        <r>
          <rPr>
            <sz val="9"/>
            <color indexed="81"/>
            <rFont val="Arial"/>
            <family val="2"/>
          </rPr>
          <t xml:space="preserve">
estimated from our CL-BM data for P. adansoni</t>
        </r>
      </text>
    </comment>
    <comment ref="P1744" authorId="10" shapeId="0" xr:uid="{00000000-0006-0000-0000-0000F3070000}">
      <text>
        <r>
          <rPr>
            <b/>
            <sz val="9"/>
            <color indexed="81"/>
            <rFont val="Arial"/>
            <family val="2"/>
          </rPr>
          <t>John Iverson:</t>
        </r>
        <r>
          <rPr>
            <sz val="9"/>
            <color indexed="81"/>
            <rFont val="Arial"/>
            <family val="2"/>
          </rPr>
          <t xml:space="preserve">
estimated from our egg data set for Pelusios sinuatus</t>
        </r>
      </text>
    </comment>
    <comment ref="J1746" authorId="11" shapeId="0" xr:uid="{00000000-0006-0000-0000-0000F4070000}">
      <text>
        <r>
          <rPr>
            <b/>
            <sz val="9"/>
            <color indexed="81"/>
            <rFont val="Tahoma"/>
            <family val="2"/>
          </rPr>
          <t>TNACI:</t>
        </r>
        <r>
          <rPr>
            <sz val="9"/>
            <color indexed="81"/>
            <rFont val="Tahoma"/>
            <family val="2"/>
          </rPr>
          <t xml:space="preserve">
Estimated from E. Krefti from Geoyers 1982</t>
        </r>
      </text>
    </comment>
    <comment ref="P1747" authorId="11" shapeId="0" xr:uid="{00000000-0006-0000-0000-0000F5070000}">
      <text>
        <r>
          <rPr>
            <b/>
            <sz val="9"/>
            <color indexed="81"/>
            <rFont val="Tahoma"/>
            <family val="2"/>
          </rPr>
          <t>TNACI:</t>
        </r>
        <r>
          <rPr>
            <sz val="9"/>
            <color indexed="81"/>
            <rFont val="Tahoma"/>
            <family val="2"/>
          </rPr>
          <t xml:space="preserve">
estimated from EM = 0.307EL + 0.837EW - 18.851 Iverson unpublished data</t>
        </r>
      </text>
    </comment>
    <comment ref="I1750" authorId="10" shapeId="0" xr:uid="{00000000-0006-0000-0000-0000F6070000}">
      <text>
        <r>
          <rPr>
            <b/>
            <sz val="9"/>
            <color indexed="81"/>
            <rFont val="Arial"/>
            <family val="2"/>
          </rPr>
          <t>John Iverson:</t>
        </r>
        <r>
          <rPr>
            <sz val="9"/>
            <color indexed="81"/>
            <rFont val="Arial"/>
            <family val="2"/>
          </rPr>
          <t xml:space="preserve">
estimated from our CL-BM data for P. adansoni</t>
        </r>
      </text>
    </comment>
    <comment ref="P1750" authorId="10" shapeId="0" xr:uid="{00000000-0006-0000-0000-0000F7070000}">
      <text>
        <r>
          <rPr>
            <b/>
            <sz val="9"/>
            <color indexed="81"/>
            <rFont val="Arial"/>
            <family val="2"/>
          </rPr>
          <t>John Iverson:</t>
        </r>
        <r>
          <rPr>
            <sz val="9"/>
            <color indexed="81"/>
            <rFont val="Arial"/>
            <family val="2"/>
          </rPr>
          <t xml:space="preserve">
estimated from our egg data set for Pelusios sinuatusa</t>
        </r>
      </text>
    </comment>
    <comment ref="L1751" authorId="7" shapeId="0" xr:uid="{00000000-0006-0000-0000-0000F8070000}">
      <text>
        <r>
          <rPr>
            <b/>
            <sz val="9"/>
            <color indexed="81"/>
            <rFont val="Tahoma"/>
            <family val="2"/>
          </rPr>
          <t>JEnnen:</t>
        </r>
        <r>
          <rPr>
            <sz val="9"/>
            <color indexed="81"/>
            <rFont val="Tahoma"/>
            <family val="2"/>
          </rPr>
          <t xml:space="preserve">
3-6</t>
        </r>
      </text>
    </comment>
    <comment ref="P1753" authorId="10" shapeId="0" xr:uid="{00000000-0006-0000-0000-0000F9070000}">
      <text>
        <r>
          <rPr>
            <b/>
            <sz val="9"/>
            <color indexed="81"/>
            <rFont val="Arial"/>
            <family val="2"/>
          </rPr>
          <t>John Iverson:</t>
        </r>
        <r>
          <rPr>
            <sz val="9"/>
            <color indexed="81"/>
            <rFont val="Arial"/>
            <family val="2"/>
          </rPr>
          <t xml:space="preserve">
emailed author and he took no measurements</t>
        </r>
      </text>
    </comment>
    <comment ref="J1754" authorId="10" shapeId="0" xr:uid="{00000000-0006-0000-0000-0000FA070000}">
      <text>
        <r>
          <rPr>
            <b/>
            <sz val="9"/>
            <color indexed="81"/>
            <rFont val="Arial"/>
            <family val="2"/>
          </rPr>
          <t>John Iverson:</t>
        </r>
        <r>
          <rPr>
            <sz val="9"/>
            <color indexed="81"/>
            <rFont val="Arial"/>
            <family val="2"/>
          </rPr>
          <t xml:space="preserve">
estimated from BM-CL data in Gong et al. 2019.</t>
        </r>
      </text>
    </comment>
    <comment ref="P1754" authorId="1012" shapeId="0" xr:uid="{00000000-0006-0000-0000-0000FB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P. subniger</t>
        </r>
      </text>
    </comment>
    <comment ref="T1755" authorId="10" shapeId="0" xr:uid="{00000000-0006-0000-0000-0000FC070000}">
      <text>
        <r>
          <rPr>
            <b/>
            <sz val="9"/>
            <color indexed="81"/>
            <rFont val="Arial"/>
            <family val="2"/>
          </rPr>
          <t>John Iverson:</t>
        </r>
        <r>
          <rPr>
            <sz val="9"/>
            <color indexed="81"/>
            <rFont val="Arial"/>
            <family val="2"/>
          </rPr>
          <t xml:space="preserve">
very rarely 2</t>
        </r>
      </text>
    </comment>
    <comment ref="P1756" authorId="10" shapeId="0" xr:uid="{00000000-0006-0000-0000-0000FD070000}">
      <text>
        <r>
          <rPr>
            <b/>
            <sz val="9"/>
            <color indexed="81"/>
            <rFont val="Arial"/>
            <family val="2"/>
          </rPr>
          <t>John Iverson:</t>
        </r>
        <r>
          <rPr>
            <sz val="9"/>
            <color indexed="81"/>
            <rFont val="Arial"/>
            <family val="2"/>
          </rPr>
          <t xml:space="preserve">
estimated from our egg data set for Staurotypus salvinii</t>
        </r>
      </text>
    </comment>
    <comment ref="I1757" authorId="1013" shapeId="0" xr:uid="{00000000-0006-0000-0000-0000FE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log-log regression from our database.</t>
        </r>
      </text>
    </comment>
    <comment ref="J1759" authorId="1014" shapeId="0" xr:uid="{00000000-0006-0000-0000-0000FF07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0.0004357*CL^2.8033 via Gong et al. (2019)</t>
        </r>
      </text>
    </comment>
    <comment ref="P1760" authorId="1015" shapeId="0" xr:uid="{00000000-0006-0000-0000-00000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P. subniger</t>
        </r>
      </text>
    </comment>
    <comment ref="I1761" authorId="1016" shapeId="0" xr:uid="{00000000-0006-0000-0000-000001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0.0004357*CL^2.8033 via Gong et al. (2019)</t>
        </r>
      </text>
    </comment>
    <comment ref="L1761" authorId="10" shapeId="0" xr:uid="{00000000-0006-0000-0000-000002080000}">
      <text>
        <r>
          <rPr>
            <b/>
            <sz val="9"/>
            <color indexed="81"/>
            <rFont val="Arial"/>
            <family val="2"/>
          </rPr>
          <t>John Iverson:</t>
        </r>
        <r>
          <rPr>
            <sz val="9"/>
            <color indexed="81"/>
            <rFont val="Arial"/>
            <family val="2"/>
          </rPr>
          <t xml:space="preserve">
up to 7</t>
        </r>
      </text>
    </comment>
    <comment ref="P1761" authorId="1017" shapeId="0" xr:uid="{00000000-0006-0000-0000-00000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10-12 by taking median</t>
        </r>
      </text>
    </comment>
    <comment ref="G1762" authorId="1018" shapeId="0" xr:uid="{00000000-0006-0000-0000-000004080000}">
      <text>
        <r>
          <rPr>
            <sz val="10"/>
            <color rgb="FF000000"/>
            <rFont val="Arial"/>
            <family val="2"/>
          </rPr>
          <t xml:space="preserve">
Comment:
    estimated ca. -16</t>
        </r>
      </text>
    </comment>
    <comment ref="T1763" authorId="7" shapeId="0" xr:uid="{00000000-0006-0000-0000-000005080000}">
      <text>
        <r>
          <rPr>
            <b/>
            <sz val="9"/>
            <color indexed="81"/>
            <rFont val="Tahoma"/>
            <family val="2"/>
          </rPr>
          <t>JEnnen:</t>
        </r>
        <r>
          <rPr>
            <sz val="9"/>
            <color indexed="81"/>
            <rFont val="Tahoma"/>
            <family val="2"/>
          </rPr>
          <t xml:space="preserve">
1-3 reported</t>
        </r>
      </text>
    </comment>
    <comment ref="T1764" authorId="7" shapeId="0" xr:uid="{00000000-0006-0000-0000-000006080000}">
      <text>
        <r>
          <rPr>
            <b/>
            <sz val="9"/>
            <color indexed="81"/>
            <rFont val="Tahoma"/>
            <family val="2"/>
          </rPr>
          <t>JEnnen:</t>
        </r>
        <r>
          <rPr>
            <sz val="9"/>
            <color indexed="81"/>
            <rFont val="Tahoma"/>
            <family val="2"/>
          </rPr>
          <t xml:space="preserve">
2-3 reported</t>
        </r>
      </text>
    </comment>
    <comment ref="K1765" authorId="7" shapeId="0" xr:uid="{00000000-0006-0000-0000-000007080000}">
      <text>
        <r>
          <rPr>
            <b/>
            <sz val="9"/>
            <color indexed="81"/>
            <rFont val="Tahoma"/>
            <family val="2"/>
          </rPr>
          <t>JEnnen:</t>
        </r>
        <r>
          <rPr>
            <sz val="9"/>
            <color indexed="81"/>
            <rFont val="Tahoma"/>
            <family val="2"/>
          </rPr>
          <t xml:space="preserve">
18-25 reported</t>
        </r>
      </text>
    </comment>
    <comment ref="T1765" authorId="7" shapeId="0" xr:uid="{00000000-0006-0000-0000-000008080000}">
      <text>
        <r>
          <rPr>
            <b/>
            <sz val="9"/>
            <color indexed="81"/>
            <rFont val="Tahoma"/>
            <family val="2"/>
          </rPr>
          <t>JEnnen:</t>
        </r>
        <r>
          <rPr>
            <sz val="9"/>
            <color indexed="81"/>
            <rFont val="Tahoma"/>
            <family val="2"/>
          </rPr>
          <t xml:space="preserve">
2-3 reported</t>
        </r>
      </text>
    </comment>
    <comment ref="P1766" authorId="1019" shapeId="0" xr:uid="{00000000-0006-0000-0000-000009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from our egg database using P. sextuberculata</t>
        </r>
      </text>
    </comment>
    <comment ref="J1768" authorId="1020" shapeId="0" xr:uid="{00000000-0006-0000-0000-00000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BM of 3600 has to an error, so removed.</t>
        </r>
      </text>
    </comment>
    <comment ref="J1769" authorId="1021" shapeId="0" xr:uid="{00000000-0006-0000-0000-00000B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Our BM-CL regression database using P. expansa from Pezzuti et al. 2008 under estimated BM
Reply:
    Estimated from BM-CL regression database using data from de la Ossa-Velasquez (2007).</t>
        </r>
      </text>
    </comment>
    <comment ref="N1769" authorId="1022" shapeId="0" xr:uid="{00000000-0006-0000-0000-00000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57.5-59.5</t>
        </r>
      </text>
    </comment>
    <comment ref="O1769" authorId="1023" shapeId="0" xr:uid="{00000000-0006-0000-0000-00000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33-34</t>
        </r>
      </text>
    </comment>
    <comment ref="P1769" authorId="1024" shapeId="0" xr:uid="{00000000-0006-0000-0000-00000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40.7-42.8</t>
        </r>
      </text>
    </comment>
    <comment ref="J1770" authorId="1025" shapeId="0" xr:uid="{00000000-0006-0000-0000-00000F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Our BM-CL regression database using P. expansa from Pezzuti et al. 2008 under estimated BM
Reply:
    Estimated from BM-CL regression database using data from de la Ossa-Velasquez (2007).</t>
        </r>
      </text>
    </comment>
    <comment ref="S1770" authorId="1026" shapeId="0" xr:uid="{00000000-0006-0000-0000-00001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RCM value from publication is suspect and not included
Reply:
    New estimate is good.</t>
        </r>
      </text>
    </comment>
    <comment ref="P1775" authorId="10" shapeId="0" xr:uid="{00000000-0006-0000-0000-000011080000}">
      <text>
        <r>
          <rPr>
            <b/>
            <sz val="9"/>
            <color indexed="81"/>
            <rFont val="Arial"/>
            <family val="2"/>
          </rPr>
          <t>John Iverson:</t>
        </r>
        <r>
          <rPr>
            <sz val="9"/>
            <color indexed="81"/>
            <rFont val="Arial"/>
            <family val="2"/>
          </rPr>
          <t xml:space="preserve">
estimated from our egg data set for P. sextuberculata</t>
        </r>
      </text>
    </comment>
    <comment ref="N1776" authorId="10" shapeId="0" xr:uid="{00000000-0006-0000-0000-000012080000}">
      <text>
        <r>
          <rPr>
            <b/>
            <sz val="9"/>
            <color indexed="81"/>
            <rFont val="Arial"/>
            <family val="2"/>
          </rPr>
          <t>John Iverson:</t>
        </r>
        <r>
          <rPr>
            <sz val="9"/>
            <color indexed="81"/>
            <rFont val="Arial"/>
            <family val="2"/>
          </rPr>
          <t xml:space="preserve">
estimated from our egg data base for sextuberculata</t>
        </r>
      </text>
    </comment>
    <comment ref="O1776" authorId="10" shapeId="0" xr:uid="{00000000-0006-0000-0000-000013080000}">
      <text>
        <r>
          <rPr>
            <b/>
            <sz val="9"/>
            <color indexed="81"/>
            <rFont val="Arial"/>
            <family val="2"/>
          </rPr>
          <t>John Iverson:</t>
        </r>
        <r>
          <rPr>
            <sz val="9"/>
            <color indexed="81"/>
            <rFont val="Arial"/>
            <family val="2"/>
          </rPr>
          <t xml:space="preserve">
estimated from our egg data base for sextuberculata</t>
        </r>
      </text>
    </comment>
    <comment ref="P1778" authorId="1027" shapeId="0" xr:uid="{00000000-0006-0000-0000-00001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Podocnemis sextuberculata (Dec 2020)</t>
        </r>
      </text>
    </comment>
    <comment ref="O1780" authorId="11" shapeId="0" xr:uid="{00000000-0006-0000-0000-000015080000}">
      <text>
        <r>
          <rPr>
            <b/>
            <sz val="9"/>
            <color indexed="81"/>
            <rFont val="Tahoma"/>
            <family val="2"/>
          </rPr>
          <t>TNACI:</t>
        </r>
        <r>
          <rPr>
            <sz val="9"/>
            <color indexed="81"/>
            <rFont val="Tahoma"/>
            <family val="2"/>
          </rPr>
          <t xml:space="preserve">
estimated from y = 1.6957x - 33.474 Iverson unpublished data</t>
        </r>
      </text>
    </comment>
    <comment ref="P1782" authorId="10" shapeId="0" xr:uid="{00000000-0006-0000-0000-000016080000}">
      <text>
        <r>
          <rPr>
            <b/>
            <sz val="9"/>
            <color indexed="81"/>
            <rFont val="Arial"/>
            <family val="2"/>
          </rPr>
          <t>John Iverson:</t>
        </r>
        <r>
          <rPr>
            <sz val="9"/>
            <color indexed="81"/>
            <rFont val="Arial"/>
            <family val="2"/>
          </rPr>
          <t xml:space="preserve">
estimated from our egg data set</t>
        </r>
      </text>
    </comment>
    <comment ref="N1783" authorId="10" shapeId="0" xr:uid="{00000000-0006-0000-0000-000017080000}">
      <text>
        <r>
          <rPr>
            <b/>
            <sz val="9"/>
            <color indexed="81"/>
            <rFont val="Arial"/>
            <family val="2"/>
          </rPr>
          <t>John Iverson:</t>
        </r>
        <r>
          <rPr>
            <sz val="9"/>
            <color indexed="81"/>
            <rFont val="Arial"/>
            <family val="2"/>
          </rPr>
          <t xml:space="preserve">
Estimated from our egg data set</t>
        </r>
      </text>
    </comment>
    <comment ref="O1783" authorId="10" shapeId="0" xr:uid="{00000000-0006-0000-0000-000018080000}">
      <text>
        <r>
          <rPr>
            <b/>
            <sz val="9"/>
            <color indexed="81"/>
            <rFont val="Arial"/>
            <family val="2"/>
          </rPr>
          <t>John Iverson:</t>
        </r>
        <r>
          <rPr>
            <sz val="9"/>
            <color indexed="81"/>
            <rFont val="Arial"/>
            <family val="2"/>
          </rPr>
          <t xml:space="preserve">
Estimated from our egg data set</t>
        </r>
      </text>
    </comment>
    <comment ref="P1783" authorId="10" shapeId="0" xr:uid="{00000000-0006-0000-0000-000019080000}">
      <text>
        <r>
          <rPr>
            <b/>
            <sz val="9"/>
            <color indexed="81"/>
            <rFont val="Arial"/>
            <family val="2"/>
          </rPr>
          <t>John Iverson:</t>
        </r>
        <r>
          <rPr>
            <sz val="9"/>
            <color indexed="81"/>
            <rFont val="Arial"/>
            <family val="2"/>
          </rPr>
          <t xml:space="preserve">
estimated from Fig. 5 in publication</t>
        </r>
      </text>
    </comment>
    <comment ref="N1786" authorId="11" shapeId="0" xr:uid="{00000000-0006-0000-0000-00001A080000}">
      <text>
        <r>
          <rPr>
            <b/>
            <sz val="9"/>
            <color indexed="81"/>
            <rFont val="Tahoma"/>
            <family val="2"/>
          </rPr>
          <t>TNACI:</t>
        </r>
        <r>
          <rPr>
            <sz val="9"/>
            <color indexed="81"/>
            <rFont val="Tahoma"/>
            <family val="2"/>
          </rPr>
          <t xml:space="preserve">
estimated from EM = 1.193.EL + 0.522EW - 34.399 Iverson unpublished data</t>
        </r>
      </text>
    </comment>
    <comment ref="O1787" authorId="1028" shapeId="0" xr:uid="{00000000-0006-0000-0000-00001B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assuming eggs spherical</t>
        </r>
      </text>
    </comment>
    <comment ref="P1787" authorId="1029" shapeId="0" xr:uid="{00000000-0006-0000-0000-00001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K1788" authorId="7" shapeId="0" xr:uid="{00000000-0006-0000-0000-00001D080000}">
      <text>
        <r>
          <rPr>
            <b/>
            <sz val="9"/>
            <color indexed="81"/>
            <rFont val="Tahoma"/>
            <family val="2"/>
          </rPr>
          <t>JEnnen:</t>
        </r>
        <r>
          <rPr>
            <sz val="9"/>
            <color indexed="81"/>
            <rFont val="Tahoma"/>
            <family val="2"/>
          </rPr>
          <t xml:space="preserve">
11-28 reported</t>
        </r>
      </text>
    </comment>
    <comment ref="J1789" authorId="1030" shapeId="0" xr:uid="{00000000-0006-0000-0000-00001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Spent BM; gravid body mass was calculated by adding SBM and CM</t>
        </r>
      </text>
    </comment>
    <comment ref="O1792" authorId="11" shapeId="0" xr:uid="{00000000-0006-0000-0000-00001F080000}">
      <text>
        <r>
          <rPr>
            <b/>
            <sz val="9"/>
            <color indexed="81"/>
            <rFont val="Tahoma"/>
            <family val="2"/>
          </rPr>
          <t>TNACI:</t>
        </r>
        <r>
          <rPr>
            <sz val="9"/>
            <color indexed="81"/>
            <rFont val="Tahoma"/>
            <family val="2"/>
          </rPr>
          <t xml:space="preserve">
estimated from y = 1.6957x - 33.474 Iverson unpublished data</t>
        </r>
      </text>
    </comment>
    <comment ref="J1793" authorId="1031" shapeId="0" xr:uid="{00000000-0006-0000-0000-00002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(BM = "371.8954*exp(0.0063*CL)") from Pezzuti et al. 2008 (July 2020)</t>
        </r>
      </text>
    </comment>
    <comment ref="P1793" authorId="1032" shapeId="0" xr:uid="{00000000-0006-0000-0000-000021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(Sept 2020)</t>
        </r>
      </text>
    </comment>
    <comment ref="P1795" authorId="11" shapeId="0" xr:uid="{00000000-0006-0000-0000-000022080000}">
      <text>
        <r>
          <rPr>
            <b/>
            <sz val="9"/>
            <color indexed="81"/>
            <rFont val="Tahoma"/>
            <family val="2"/>
          </rPr>
          <t>TNACI:</t>
        </r>
        <r>
          <rPr>
            <sz val="9"/>
            <color indexed="81"/>
            <rFont val="Tahoma"/>
            <family val="2"/>
          </rPr>
          <t xml:space="preserve">
estimated from EM = 1.193.EL + 0.522EW - 34.399 Iverson unpublished data</t>
        </r>
      </text>
    </comment>
    <comment ref="J1801" authorId="1033" shapeId="0" xr:uid="{00000000-0006-0000-0000-00002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(BM = "371.8954*exp(0.0063*CL)") from Pezzuti et al. 2008 (July 2020)</t>
        </r>
      </text>
    </comment>
    <comment ref="I1802" authorId="1034" shapeId="0" xr:uid="{00000000-0006-0000-0000-00002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(BM = "371.8954*exp(0.0063*CL)") from Pezzuti et al. 2008 (July 2020)</t>
        </r>
      </text>
    </comment>
    <comment ref="J1802" authorId="10" shapeId="0" xr:uid="{00000000-0006-0000-0000-000025080000}">
      <text>
        <r>
          <rPr>
            <b/>
            <sz val="9"/>
            <color indexed="81"/>
            <rFont val="Arial"/>
            <family val="2"/>
          </rPr>
          <t>John Iverson:</t>
        </r>
        <r>
          <rPr>
            <sz val="9"/>
            <color indexed="81"/>
            <rFont val="Arial"/>
            <family val="2"/>
          </rPr>
          <t xml:space="preserve">
estimated from RCM in original paper</t>
        </r>
      </text>
    </comment>
    <comment ref="I1803" authorId="1035" shapeId="0" xr:uid="{00000000-0006-0000-0000-000026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(BM = "371.8954*exp(0.0063*CL)") from Pezzuti et al. 2008 (July 2020)</t>
        </r>
      </text>
    </comment>
    <comment ref="N1804" authorId="10" shapeId="0" xr:uid="{00000000-0006-0000-0000-000027080000}">
      <text>
        <r>
          <rPr>
            <b/>
            <sz val="9"/>
            <color indexed="81"/>
            <rFont val="Arial"/>
            <family val="2"/>
          </rPr>
          <t>John Iverson:</t>
        </r>
        <r>
          <rPr>
            <sz val="9"/>
            <color indexed="81"/>
            <rFont val="Arial"/>
            <family val="2"/>
          </rPr>
          <t xml:space="preserve">
estimated from our egg data set</t>
        </r>
      </text>
    </comment>
    <comment ref="O1804" authorId="10" shapeId="0" xr:uid="{00000000-0006-0000-0000-000028080000}">
      <text>
        <r>
          <rPr>
            <b/>
            <sz val="9"/>
            <color indexed="81"/>
            <rFont val="Arial"/>
            <family val="2"/>
          </rPr>
          <t>John Iverson:</t>
        </r>
        <r>
          <rPr>
            <sz val="9"/>
            <color indexed="81"/>
            <rFont val="Arial"/>
            <family val="2"/>
          </rPr>
          <t xml:space="preserve">
estimated from our egg data set</t>
        </r>
      </text>
    </comment>
    <comment ref="J1805" authorId="1036" shapeId="0" xr:uid="{00000000-0006-0000-0000-000029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(BM = "371.8954*exp(0.0063*CL)") from Pezzuti et al. 2008 (July 2020)</t>
        </r>
      </text>
    </comment>
    <comment ref="G1814" authorId="1037" shapeId="0" xr:uid="{00000000-0006-0000-0000-00002A080000}">
      <text>
        <r>
          <rPr>
            <sz val="10"/>
            <color rgb="FF000000"/>
            <rFont val="Arial"/>
            <family val="2"/>
          </rPr>
          <t xml:space="preserve">
Comment:
    estimated ca. 8.5</t>
        </r>
      </text>
    </comment>
    <comment ref="J1815" authorId="1038" shapeId="0" xr:uid="{00000000-0006-0000-0000-00002B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0.2070*CL^2.783 calculated from P. unifilis (Smith 1979)</t>
        </r>
      </text>
    </comment>
    <comment ref="L1819" authorId="1039" shapeId="0" xr:uid="{00000000-0006-0000-0000-00002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25</t>
        </r>
      </text>
    </comment>
    <comment ref="P1819" authorId="1040" shapeId="0" xr:uid="{00000000-0006-0000-0000-00002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P. expansa (A. Paolillo  pers. comm.)</t>
        </r>
      </text>
    </comment>
    <comment ref="K1823" authorId="7" shapeId="0" xr:uid="{00000000-0006-0000-0000-00002E080000}">
      <text>
        <r>
          <rPr>
            <b/>
            <sz val="9"/>
            <color indexed="81"/>
            <rFont val="Tahoma"/>
            <family val="2"/>
          </rPr>
          <t>JEnnen:</t>
        </r>
        <r>
          <rPr>
            <sz val="9"/>
            <color indexed="81"/>
            <rFont val="Tahoma"/>
            <family val="2"/>
          </rPr>
          <t xml:space="preserve">
5-6 reported</t>
        </r>
      </text>
    </comment>
    <comment ref="I1826" authorId="10" shapeId="0" xr:uid="{00000000-0006-0000-0000-00002F080000}">
      <text>
        <r>
          <rPr>
            <b/>
            <sz val="9"/>
            <color indexed="81"/>
            <rFont val="Arial"/>
            <family val="2"/>
          </rPr>
          <t>John Iverson:</t>
        </r>
        <r>
          <rPr>
            <sz val="9"/>
            <color indexed="81"/>
            <rFont val="Arial"/>
            <family val="2"/>
          </rPr>
          <t xml:space="preserve">
curved CL</t>
        </r>
      </text>
    </comment>
    <comment ref="I1827" authorId="1041" shapeId="0" xr:uid="{00000000-0006-0000-0000-00003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species</t>
        </r>
      </text>
    </comment>
    <comment ref="J1827" authorId="10" shapeId="0" xr:uid="{00000000-0006-0000-0000-000031080000}">
      <text>
        <r>
          <rPr>
            <b/>
            <sz val="9"/>
            <color indexed="81"/>
            <rFont val="Arial"/>
            <family val="2"/>
          </rPr>
          <t>John Iverson:</t>
        </r>
        <r>
          <rPr>
            <sz val="9"/>
            <color indexed="81"/>
            <rFont val="Arial"/>
            <family val="2"/>
          </rPr>
          <t xml:space="preserve">
estimated from RCM in original paper</t>
        </r>
      </text>
    </comment>
    <comment ref="I1828" authorId="1042" shapeId="0" xr:uid="{00000000-0006-0000-0000-000032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for this species</t>
        </r>
      </text>
    </comment>
    <comment ref="G1831" authorId="1043" shapeId="0" xr:uid="{00000000-0006-0000-0000-000033080000}">
      <text>
        <r>
          <rPr>
            <sz val="10"/>
            <color rgb="FF000000"/>
            <rFont val="Arial"/>
            <family val="2"/>
          </rPr>
          <t xml:space="preserve">
Comment:
    estimated ca. 0</t>
        </r>
      </text>
    </comment>
    <comment ref="G1832" authorId="1044" shapeId="0" xr:uid="{00000000-0006-0000-0000-000034080000}">
      <text>
        <r>
          <rPr>
            <sz val="10"/>
            <color rgb="FF000000"/>
            <rFont val="Arial"/>
            <family val="2"/>
          </rPr>
          <t xml:space="preserve">
Comment:
    estimated ca. 0</t>
        </r>
      </text>
    </comment>
    <comment ref="G1836" authorId="1045" shapeId="0" xr:uid="{00000000-0006-0000-0000-000035080000}">
      <text>
        <r>
          <rPr>
            <sz val="10"/>
            <color rgb="FF000000"/>
            <rFont val="Arial"/>
            <family val="2"/>
          </rPr>
          <t xml:space="preserve">
Comment:
    estimated ca. 5.5</t>
        </r>
      </text>
    </comment>
    <comment ref="J1837" authorId="1046" shapeId="0" xr:uid="{00000000-0006-0000-0000-000036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Mioranda 2016</t>
        </r>
      </text>
    </comment>
    <comment ref="S1837" authorId="1" shapeId="0" xr:uid="{00000000-0006-0000-0000-000037080000}">
      <text>
        <r>
          <rPr>
            <sz val="10"/>
            <color rgb="FF000000"/>
            <rFont val="Arial"/>
            <family val="2"/>
          </rPr>
          <t>estimated from clutch mass and body mass
	-Joshua Ennen</t>
        </r>
      </text>
    </comment>
    <comment ref="P1841" authorId="10" shapeId="0" xr:uid="{00000000-0006-0000-0000-000038080000}">
      <text>
        <r>
          <rPr>
            <b/>
            <sz val="9"/>
            <color indexed="81"/>
            <rFont val="Arial"/>
            <family val="2"/>
          </rPr>
          <t>John Iverson:</t>
        </r>
        <r>
          <rPr>
            <sz val="9"/>
            <color indexed="81"/>
            <rFont val="Arial"/>
            <family val="2"/>
          </rPr>
          <t xml:space="preserve">
estimated from Fig. 3</t>
        </r>
      </text>
    </comment>
    <comment ref="P1846" authorId="10" shapeId="0" xr:uid="{00000000-0006-0000-0000-000039080000}">
      <text>
        <r>
          <rPr>
            <b/>
            <sz val="9"/>
            <color indexed="81"/>
            <rFont val="Arial"/>
            <family val="2"/>
          </rPr>
          <t>John Iverson:</t>
        </r>
        <r>
          <rPr>
            <sz val="9"/>
            <color indexed="81"/>
            <rFont val="Arial"/>
            <family val="2"/>
          </rPr>
          <t xml:space="preserve">
estimated from our egg data set for P. sextuberculata</t>
        </r>
      </text>
    </comment>
    <comment ref="K1847" authorId="7" shapeId="0" xr:uid="{00000000-0006-0000-0000-00003A080000}">
      <text>
        <r>
          <rPr>
            <b/>
            <sz val="9"/>
            <color indexed="81"/>
            <rFont val="Tahoma"/>
            <family val="2"/>
          </rPr>
          <t>JEnnen:</t>
        </r>
        <r>
          <rPr>
            <sz val="9"/>
            <color indexed="81"/>
            <rFont val="Tahoma"/>
            <family val="2"/>
          </rPr>
          <t xml:space="preserve">
5-9 reported</t>
        </r>
      </text>
    </comment>
    <comment ref="J1851" authorId="1047" shapeId="0" xr:uid="{00000000-0006-0000-0000-00003B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Mioranda 2016</t>
        </r>
      </text>
    </comment>
    <comment ref="L1851" authorId="1048" shapeId="0" xr:uid="{00000000-0006-0000-0000-00003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11-32 by taking the median</t>
        </r>
      </text>
    </comment>
    <comment ref="P1851" authorId="10" shapeId="0" xr:uid="{00000000-0006-0000-0000-00003D080000}">
      <text>
        <r>
          <rPr>
            <b/>
            <sz val="9"/>
            <color indexed="81"/>
            <rFont val="Arial"/>
            <family val="2"/>
          </rPr>
          <t>John Iverson:</t>
        </r>
        <r>
          <rPr>
            <sz val="9"/>
            <color indexed="81"/>
            <rFont val="Arial"/>
            <family val="2"/>
          </rPr>
          <t xml:space="preserve">
estimated from our egg data set for P. sextuberculata</t>
        </r>
      </text>
    </comment>
    <comment ref="I1853" authorId="1049" shapeId="0" xr:uid="{00000000-0006-0000-0000-00003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Mioranda 2016</t>
        </r>
      </text>
    </comment>
    <comment ref="J1853" authorId="10" shapeId="0" xr:uid="{00000000-0006-0000-0000-00003F080000}">
      <text>
        <r>
          <rPr>
            <b/>
            <sz val="9"/>
            <color indexed="81"/>
            <rFont val="Arial"/>
            <family val="2"/>
          </rPr>
          <t>John Iverson:</t>
        </r>
        <r>
          <rPr>
            <sz val="9"/>
            <color indexed="81"/>
            <rFont val="Arial"/>
            <family val="2"/>
          </rPr>
          <t xml:space="preserve">
based on Fig. 2 estimated</t>
        </r>
      </text>
    </comment>
    <comment ref="I1854" authorId="10" shapeId="0" xr:uid="{00000000-0006-0000-0000-000040080000}">
      <text>
        <r>
          <rPr>
            <b/>
            <sz val="9"/>
            <color indexed="81"/>
            <rFont val="Arial"/>
            <family val="2"/>
          </rPr>
          <t>John Iverson:</t>
        </r>
        <r>
          <rPr>
            <sz val="9"/>
            <color indexed="81"/>
            <rFont val="Arial"/>
            <family val="2"/>
          </rPr>
          <t xml:space="preserve">
curved CL = 43.0
</t>
        </r>
      </text>
    </comment>
    <comment ref="I1856" authorId="1050" shapeId="0" xr:uid="{00000000-0006-0000-0000-000041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Mioranda 2016</t>
        </r>
      </text>
    </comment>
    <comment ref="J1856" authorId="10" shapeId="0" xr:uid="{00000000-0006-0000-0000-000042080000}">
      <text>
        <r>
          <rPr>
            <b/>
            <sz val="9"/>
            <color indexed="81"/>
            <rFont val="Arial"/>
            <family val="2"/>
          </rPr>
          <t>John Iverson:</t>
        </r>
        <r>
          <rPr>
            <sz val="9"/>
            <color indexed="81"/>
            <rFont val="Arial"/>
            <family val="2"/>
          </rPr>
          <t xml:space="preserve">
estimated from RCM in original paper</t>
        </r>
      </text>
    </comment>
    <comment ref="I1857" authorId="10" shapeId="0" xr:uid="{00000000-0006-0000-0000-000043080000}">
      <text>
        <r>
          <rPr>
            <b/>
            <sz val="9"/>
            <color indexed="81"/>
            <rFont val="Arial"/>
            <family val="2"/>
          </rPr>
          <t>John Iverson:</t>
        </r>
        <r>
          <rPr>
            <sz val="9"/>
            <color indexed="81"/>
            <rFont val="Arial"/>
            <family val="2"/>
          </rPr>
          <t xml:space="preserve">
estimated from the BM-CL for females in Mioranda 2016</t>
        </r>
      </text>
    </comment>
    <comment ref="S1860" authorId="1051" shapeId="0" xr:uid="{00000000-0006-0000-0000-00004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RCM of 23% reported in paper was a calculation error</t>
        </r>
      </text>
    </comment>
    <comment ref="J1863" authorId="1052" shapeId="0" xr:uid="{00000000-0006-0000-0000-00004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Alarcon Pardo 1969</t>
        </r>
      </text>
    </comment>
    <comment ref="L1864" authorId="7" shapeId="0" xr:uid="{00000000-0006-0000-0000-000046080000}">
      <text>
        <r>
          <rPr>
            <b/>
            <sz val="9"/>
            <color indexed="81"/>
            <rFont val="Tahoma"/>
            <family val="2"/>
          </rPr>
          <t>JEnnen:</t>
        </r>
        <r>
          <rPr>
            <sz val="9"/>
            <color indexed="81"/>
            <rFont val="Tahoma"/>
            <family val="2"/>
          </rPr>
          <t xml:space="preserve">
7-13</t>
        </r>
      </text>
    </comment>
    <comment ref="P1864" authorId="11" shapeId="0" xr:uid="{00000000-0006-0000-0000-000047080000}">
      <text>
        <r>
          <rPr>
            <b/>
            <sz val="9"/>
            <color indexed="81"/>
            <rFont val="Tahoma"/>
            <family val="2"/>
          </rPr>
          <t>TNACI:</t>
        </r>
        <r>
          <rPr>
            <sz val="9"/>
            <color indexed="81"/>
            <rFont val="Tahoma"/>
            <family val="2"/>
          </rPr>
          <t xml:space="preserve">
estimated from EM = 0.340EL + 0.858EW - 20.721 Iverson unpublished data</t>
        </r>
      </text>
    </comment>
    <comment ref="T1864" authorId="7" shapeId="0" xr:uid="{00000000-0006-0000-0000-000048080000}">
      <text>
        <r>
          <rPr>
            <b/>
            <sz val="9"/>
            <color indexed="81"/>
            <rFont val="Tahoma"/>
            <family val="2"/>
          </rPr>
          <t>JEnnen:</t>
        </r>
        <r>
          <rPr>
            <sz val="9"/>
            <color indexed="81"/>
            <rFont val="Tahoma"/>
            <family val="2"/>
          </rPr>
          <t xml:space="preserve">
2-4 reported</t>
        </r>
      </text>
    </comment>
    <comment ref="I1865" authorId="1053" shapeId="0" xr:uid="{00000000-0006-0000-0000-000049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Fig 2 in original paper</t>
        </r>
      </text>
    </comment>
    <comment ref="J1865" authorId="1054" shapeId="0" xr:uid="{00000000-0006-0000-0000-00004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equation from Aworer and Ramchum (2003)</t>
        </r>
      </text>
    </comment>
    <comment ref="K1865" authorId="7" shapeId="0" xr:uid="{00000000-0006-0000-0000-00004B080000}">
      <text>
        <r>
          <rPr>
            <b/>
            <sz val="9"/>
            <color indexed="81"/>
            <rFont val="Tahoma"/>
            <family val="2"/>
          </rPr>
          <t>JEnnen:</t>
        </r>
        <r>
          <rPr>
            <sz val="9"/>
            <color indexed="81"/>
            <rFont val="Tahoma"/>
            <family val="2"/>
          </rPr>
          <t xml:space="preserve">
25-30 reported</t>
        </r>
      </text>
    </comment>
    <comment ref="J1869" authorId="1055" shapeId="0" xr:uid="{00000000-0006-0000-0000-00004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8.278*CL^2.1149 via Aworer and Ramchurn (2003) (July 2020)</t>
        </r>
      </text>
    </comment>
    <comment ref="I1870" authorId="1056" shapeId="0" xr:uid="{00000000-0006-0000-0000-00004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CCL = 87; used CCL/SCL ratio from 1.3151 from Gerlach (2004)</t>
        </r>
      </text>
    </comment>
    <comment ref="I1871" authorId="10" shapeId="0" xr:uid="{00000000-0006-0000-0000-00004E080000}">
      <text>
        <r>
          <rPr>
            <b/>
            <sz val="9"/>
            <color indexed="81"/>
            <rFont val="Arial"/>
            <family val="2"/>
          </rPr>
          <t>John Iverson:</t>
        </r>
        <r>
          <rPr>
            <sz val="9"/>
            <color indexed="81"/>
            <rFont val="Arial"/>
            <family val="2"/>
          </rPr>
          <t xml:space="preserve">
" &gt;30% larger on Malabar than Grand Terre</t>
        </r>
      </text>
    </comment>
    <comment ref="T1876" authorId="7" shapeId="0" xr:uid="{00000000-0006-0000-0000-00004F080000}">
      <text>
        <r>
          <rPr>
            <b/>
            <sz val="9"/>
            <color indexed="81"/>
            <rFont val="Tahoma"/>
            <family val="2"/>
          </rPr>
          <t>JEnnen:</t>
        </r>
        <r>
          <rPr>
            <sz val="9"/>
            <color indexed="81"/>
            <rFont val="Tahoma"/>
            <family val="2"/>
          </rPr>
          <t xml:space="preserve">
1-5 reported</t>
        </r>
      </text>
    </comment>
    <comment ref="I1877" authorId="1057" shapeId="0" xr:uid="{00000000-0006-0000-0000-00005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T1877" authorId="7" shapeId="0" xr:uid="{00000000-0006-0000-0000-000051080000}">
      <text>
        <r>
          <rPr>
            <b/>
            <sz val="9"/>
            <color indexed="81"/>
            <rFont val="Tahoma"/>
            <family val="2"/>
          </rPr>
          <t>JEnnen:</t>
        </r>
        <r>
          <rPr>
            <sz val="9"/>
            <color indexed="81"/>
            <rFont val="Tahoma"/>
            <family val="2"/>
          </rPr>
          <t xml:space="preserve">
1-2 reported</t>
        </r>
      </text>
    </comment>
    <comment ref="I1878" authorId="1058" shapeId="0" xr:uid="{00000000-0006-0000-0000-000052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I1879" authorId="1059" shapeId="0" xr:uid="{00000000-0006-0000-0000-00005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K1880" authorId="7" shapeId="0" xr:uid="{00000000-0006-0000-0000-000054080000}">
      <text>
        <r>
          <rPr>
            <b/>
            <sz val="9"/>
            <color indexed="81"/>
            <rFont val="Tahoma"/>
            <family val="2"/>
          </rPr>
          <t>JEnnen:</t>
        </r>
        <r>
          <rPr>
            <sz val="9"/>
            <color indexed="81"/>
            <rFont val="Tahoma"/>
            <family val="2"/>
          </rPr>
          <t xml:space="preserve">
9-10 reported</t>
        </r>
      </text>
    </comment>
    <comment ref="N1880" authorId="1060" shapeId="0" xr:uid="{00000000-0006-0000-0000-00005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37.5-44.1</t>
        </r>
      </text>
    </comment>
    <comment ref="O1880" authorId="1061" shapeId="0" xr:uid="{00000000-0006-0000-0000-000056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36.5-40.2</t>
        </r>
      </text>
    </comment>
    <comment ref="P1880" authorId="10" shapeId="0" xr:uid="{00000000-0006-0000-0000-000057080000}">
      <text>
        <r>
          <rPr>
            <b/>
            <sz val="9"/>
            <color indexed="81"/>
            <rFont val="Arial"/>
            <family val="2"/>
          </rPr>
          <t>John Iverson:</t>
        </r>
        <r>
          <rPr>
            <sz val="9"/>
            <color indexed="81"/>
            <rFont val="Arial"/>
            <family val="2"/>
          </rPr>
          <t xml:space="preserve">
30-47</t>
        </r>
      </text>
    </comment>
    <comment ref="T1880" authorId="7" shapeId="0" xr:uid="{00000000-0006-0000-0000-000058080000}">
      <text>
        <r>
          <rPr>
            <b/>
            <sz val="9"/>
            <color indexed="81"/>
            <rFont val="Tahoma"/>
            <family val="2"/>
          </rPr>
          <t>JEnnen:</t>
        </r>
        <r>
          <rPr>
            <sz val="9"/>
            <color indexed="81"/>
            <rFont val="Tahoma"/>
            <family val="2"/>
          </rPr>
          <t xml:space="preserve">
2-3 reported</t>
        </r>
      </text>
    </comment>
    <comment ref="R1882" authorId="10" shapeId="0" xr:uid="{00000000-0006-0000-0000-000059080000}">
      <text>
        <r>
          <rPr>
            <b/>
            <sz val="9"/>
            <color indexed="81"/>
            <rFont val="Arial"/>
            <family val="2"/>
          </rPr>
          <t>John Iverson:</t>
        </r>
        <r>
          <rPr>
            <sz val="9"/>
            <color indexed="81"/>
            <rFont val="Arial"/>
            <family val="2"/>
          </rPr>
          <t xml:space="preserve">
Assume CS = 2.5</t>
        </r>
      </text>
    </comment>
    <comment ref="T1882" authorId="7" shapeId="0" xr:uid="{00000000-0006-0000-0000-00005A080000}">
      <text>
        <r>
          <rPr>
            <b/>
            <sz val="9"/>
            <color indexed="81"/>
            <rFont val="Tahoma"/>
            <family val="2"/>
          </rPr>
          <t>JEnnen:</t>
        </r>
        <r>
          <rPr>
            <sz val="9"/>
            <color indexed="81"/>
            <rFont val="Tahoma"/>
            <family val="2"/>
          </rPr>
          <t xml:space="preserve">
1-3 reported</t>
        </r>
      </text>
    </comment>
    <comment ref="K1883" authorId="7" shapeId="0" xr:uid="{00000000-0006-0000-0000-00005B080000}">
      <text>
        <r>
          <rPr>
            <b/>
            <sz val="9"/>
            <color indexed="81"/>
            <rFont val="Tahoma"/>
            <family val="2"/>
          </rPr>
          <t>JEnnen:</t>
        </r>
        <r>
          <rPr>
            <sz val="9"/>
            <color indexed="81"/>
            <rFont val="Tahoma"/>
            <family val="2"/>
          </rPr>
          <t xml:space="preserve">
16-21 reported</t>
        </r>
      </text>
    </comment>
    <comment ref="T1883" authorId="7" shapeId="0" xr:uid="{00000000-0006-0000-0000-00005C080000}">
      <text>
        <r>
          <rPr>
            <b/>
            <sz val="9"/>
            <color indexed="81"/>
            <rFont val="Tahoma"/>
            <family val="2"/>
          </rPr>
          <t>JEnnen:</t>
        </r>
        <r>
          <rPr>
            <sz val="9"/>
            <color indexed="81"/>
            <rFont val="Tahoma"/>
            <family val="2"/>
          </rPr>
          <t xml:space="preserve">
1-3 reported</t>
        </r>
      </text>
    </comment>
    <comment ref="P1885" authorId="10" shapeId="0" xr:uid="{00000000-0006-0000-0000-00005D080000}">
      <text>
        <r>
          <rPr>
            <b/>
            <sz val="9"/>
            <color indexed="81"/>
            <rFont val="Arial"/>
            <family val="2"/>
          </rPr>
          <t>John Iverson:</t>
        </r>
        <r>
          <rPr>
            <sz val="9"/>
            <color indexed="81"/>
            <rFont val="Arial"/>
            <family val="2"/>
          </rPr>
          <t xml:space="preserve">
estimated from our egg data  set for C. carbonaria</t>
        </r>
      </text>
    </comment>
    <comment ref="K1889" authorId="7" shapeId="0" xr:uid="{00000000-0006-0000-0000-00005E080000}">
      <text>
        <r>
          <rPr>
            <b/>
            <sz val="9"/>
            <color indexed="81"/>
            <rFont val="Tahoma"/>
            <family val="2"/>
          </rPr>
          <t>JEnnen:</t>
        </r>
        <r>
          <rPr>
            <sz val="9"/>
            <color indexed="81"/>
            <rFont val="Tahoma"/>
            <family val="2"/>
          </rPr>
          <t xml:space="preserve">
20-23 reported</t>
        </r>
      </text>
    </comment>
    <comment ref="O1889" authorId="1062" shapeId="0" xr:uid="{00000000-0006-0000-0000-00005F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32-36 by taking median</t>
        </r>
      </text>
    </comment>
    <comment ref="K1890" authorId="7" shapeId="0" xr:uid="{00000000-0006-0000-0000-000060080000}">
      <text>
        <r>
          <rPr>
            <b/>
            <sz val="9"/>
            <color indexed="81"/>
            <rFont val="Tahoma"/>
            <family val="2"/>
          </rPr>
          <t>JEnnen:</t>
        </r>
        <r>
          <rPr>
            <sz val="9"/>
            <color indexed="81"/>
            <rFont val="Tahoma"/>
            <family val="2"/>
          </rPr>
          <t xml:space="preserve">
17-22 reported</t>
        </r>
      </text>
    </comment>
    <comment ref="J1892" authorId="10" shapeId="0" xr:uid="{00000000-0006-0000-0000-000061080000}">
      <text>
        <r>
          <rPr>
            <b/>
            <sz val="9"/>
            <color indexed="81"/>
            <rFont val="Arial"/>
            <family val="2"/>
          </rPr>
          <t>John Iverson:</t>
        </r>
        <r>
          <rPr>
            <sz val="9"/>
            <color indexed="81"/>
            <rFont val="Arial"/>
            <family val="2"/>
          </rPr>
          <t xml:space="preserve">
estimated from their Fig. 1</t>
        </r>
      </text>
    </comment>
    <comment ref="N1892" authorId="1063" shapeId="0" xr:uid="{00000000-0006-0000-0000-000062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42.8-47.5</t>
        </r>
      </text>
    </comment>
    <comment ref="O1892" authorId="1064" shapeId="0" xr:uid="{00000000-0006-0000-0000-00006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42.8-47.5</t>
        </r>
      </text>
    </comment>
    <comment ref="P1892" authorId="10" shapeId="0" xr:uid="{00000000-0006-0000-0000-000064080000}">
      <text>
        <r>
          <rPr>
            <b/>
            <sz val="9"/>
            <color indexed="81"/>
            <rFont val="Arial"/>
            <family val="2"/>
          </rPr>
          <t>John Iverson:</t>
        </r>
        <r>
          <rPr>
            <sz val="9"/>
            <color indexed="81"/>
            <rFont val="Arial"/>
            <family val="2"/>
          </rPr>
          <t xml:space="preserve">
estimated from our egg data set for Gopherus polyphemus using mean of ranges as egg length</t>
        </r>
      </text>
    </comment>
    <comment ref="P1894" authorId="1065" shapeId="0" xr:uid="{00000000-0006-0000-0000-00006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N1895" authorId="10" shapeId="0" xr:uid="{00000000-0006-0000-0000-000066080000}">
      <text>
        <r>
          <rPr>
            <b/>
            <sz val="9"/>
            <color indexed="81"/>
            <rFont val="Arial"/>
            <family val="2"/>
          </rPr>
          <t>John Iverson:</t>
        </r>
        <r>
          <rPr>
            <sz val="9"/>
            <color indexed="81"/>
            <rFont val="Arial"/>
            <family val="2"/>
          </rPr>
          <t xml:space="preserve">
estmated from our egg data set</t>
        </r>
      </text>
    </comment>
    <comment ref="O1895" authorId="10" shapeId="0" xr:uid="{00000000-0006-0000-0000-000067080000}">
      <text>
        <r>
          <rPr>
            <b/>
            <sz val="9"/>
            <color indexed="81"/>
            <rFont val="Arial"/>
            <family val="2"/>
          </rPr>
          <t>John Iverson:</t>
        </r>
        <r>
          <rPr>
            <sz val="9"/>
            <color indexed="81"/>
            <rFont val="Arial"/>
            <family val="2"/>
          </rPr>
          <t xml:space="preserve">
estmated from our egg data set</t>
        </r>
      </text>
    </comment>
    <comment ref="I1896" authorId="1066" shapeId="0" xr:uid="{00000000-0006-0000-0000-000068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0.0007247*CL^2.7778 via Cloudsley-Thompson 1970; Meek and Avery 1988</t>
        </r>
      </text>
    </comment>
    <comment ref="I1897" authorId="1067" shapeId="0" xr:uid="{00000000-0006-0000-0000-000069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0.0007247*CL^2.7778 via Cloudsley-Thompson 1970; Meek and Avery 1988</t>
        </r>
      </text>
    </comment>
    <comment ref="T1897" authorId="7" shapeId="0" xr:uid="{00000000-0006-0000-0000-00006A080000}">
      <text>
        <r>
          <rPr>
            <b/>
            <sz val="9"/>
            <color indexed="81"/>
            <rFont val="Tahoma"/>
            <family val="2"/>
          </rPr>
          <t>JEnnen:</t>
        </r>
        <r>
          <rPr>
            <sz val="9"/>
            <color indexed="81"/>
            <rFont val="Tahoma"/>
            <family val="2"/>
          </rPr>
          <t xml:space="preserve">
7-9 reported</t>
        </r>
      </text>
    </comment>
    <comment ref="T1898" authorId="7" shapeId="0" xr:uid="{00000000-0006-0000-0000-00006B080000}">
      <text>
        <r>
          <rPr>
            <b/>
            <sz val="9"/>
            <color indexed="81"/>
            <rFont val="Tahoma"/>
            <family val="2"/>
          </rPr>
          <t>JEnnen:</t>
        </r>
        <r>
          <rPr>
            <sz val="9"/>
            <color indexed="81"/>
            <rFont val="Tahoma"/>
            <family val="2"/>
          </rPr>
          <t xml:space="preserve">
up to 6; reported 4-5</t>
        </r>
      </text>
    </comment>
    <comment ref="O1901" authorId="1068" shapeId="0" xr:uid="{00000000-0006-0000-0000-00006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1.0376x + 1.9135 Iverson unpublished data</t>
        </r>
      </text>
    </comment>
    <comment ref="J1903" authorId="10" shapeId="0" xr:uid="{00000000-0006-0000-0000-00006D080000}">
      <text>
        <r>
          <rPr>
            <b/>
            <sz val="9"/>
            <color indexed="81"/>
            <rFont val="Arial"/>
            <family val="2"/>
          </rPr>
          <t>John Iverson:</t>
        </r>
        <r>
          <rPr>
            <sz val="9"/>
            <color indexed="81"/>
            <rFont val="Arial"/>
            <family val="2"/>
          </rPr>
          <t xml:space="preserve">
estimated from Fig. S1. in Bastille-Rousseau  et al. (2016. J. Anim. Ecol. 85:1171-1181).</t>
        </r>
      </text>
    </comment>
    <comment ref="L1903" authorId="10" shapeId="0" xr:uid="{00000000-0006-0000-0000-00006E080000}">
      <text>
        <r>
          <rPr>
            <b/>
            <sz val="9"/>
            <color indexed="81"/>
            <rFont val="Arial"/>
            <family val="2"/>
          </rPr>
          <t>John Iverson:</t>
        </r>
        <r>
          <rPr>
            <sz val="9"/>
            <color indexed="81"/>
            <rFont val="Arial"/>
            <family val="2"/>
          </rPr>
          <t xml:space="preserve">
"5-10", N = 1
</t>
        </r>
      </text>
    </comment>
    <comment ref="J1905" authorId="10" shapeId="0" xr:uid="{00000000-0006-0000-0000-00006F080000}">
      <text>
        <r>
          <rPr>
            <b/>
            <sz val="9"/>
            <color indexed="81"/>
            <rFont val="Arial"/>
            <family val="2"/>
          </rPr>
          <t>John Iverson:</t>
        </r>
        <r>
          <rPr>
            <sz val="9"/>
            <color indexed="81"/>
            <rFont val="Arial"/>
            <family val="2"/>
          </rPr>
          <t xml:space="preserve">
estimated from the BM-CL data for C. carbonaria in Humair 2013</t>
        </r>
      </text>
    </comment>
    <comment ref="T1905" authorId="7" shapeId="0" xr:uid="{00000000-0006-0000-0000-000070080000}">
      <text>
        <r>
          <rPr>
            <b/>
            <sz val="9"/>
            <color indexed="81"/>
            <rFont val="Tahoma"/>
            <family val="2"/>
          </rPr>
          <t>JEnnen:</t>
        </r>
        <r>
          <rPr>
            <sz val="9"/>
            <color indexed="81"/>
            <rFont val="Tahoma"/>
            <family val="2"/>
          </rPr>
          <t xml:space="preserve">
2-5 reported</t>
        </r>
      </text>
    </comment>
    <comment ref="L1906" authorId="7" shapeId="0" xr:uid="{00000000-0006-0000-0000-000071080000}">
      <text>
        <r>
          <rPr>
            <b/>
            <sz val="9"/>
            <color indexed="81"/>
            <rFont val="Tahoma"/>
            <family val="2"/>
          </rPr>
          <t>JEnnen:</t>
        </r>
        <r>
          <rPr>
            <sz val="9"/>
            <color indexed="81"/>
            <rFont val="Tahoma"/>
            <family val="2"/>
          </rPr>
          <t xml:space="preserve">
4-5</t>
        </r>
      </text>
    </comment>
    <comment ref="J1907" authorId="10" shapeId="0" xr:uid="{00000000-0006-0000-0000-000072080000}">
      <text>
        <r>
          <rPr>
            <b/>
            <sz val="9"/>
            <color indexed="81"/>
            <rFont val="Arial"/>
            <family val="2"/>
          </rPr>
          <t>John Iverson:</t>
        </r>
        <r>
          <rPr>
            <sz val="9"/>
            <color indexed="81"/>
            <rFont val="Arial"/>
            <family val="2"/>
          </rPr>
          <t xml:space="preserve">
estimated from data on C. denticulata in Humair 2013</t>
        </r>
      </text>
    </comment>
    <comment ref="P1909" authorId="1069" shapeId="0" xr:uid="{00000000-0006-0000-0000-00007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P1910" authorId="1070" shapeId="0" xr:uid="{00000000-0006-0000-0000-00007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P1911" authorId="1071" shapeId="0" xr:uid="{00000000-0006-0000-0000-00007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L1912" authorId="7" shapeId="0" xr:uid="{00000000-0006-0000-0000-000076080000}">
      <text>
        <r>
          <rPr>
            <b/>
            <sz val="9"/>
            <color indexed="81"/>
            <rFont val="Tahoma"/>
            <family val="2"/>
          </rPr>
          <t>JEnnen:</t>
        </r>
        <r>
          <rPr>
            <sz val="9"/>
            <color indexed="81"/>
            <rFont val="Tahoma"/>
            <family val="2"/>
          </rPr>
          <t xml:space="preserve">
3-5
</t>
        </r>
      </text>
    </comment>
    <comment ref="P1912" authorId="1072" shapeId="0" xr:uid="{00000000-0006-0000-0000-000077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35-50 by taking median</t>
        </r>
      </text>
    </comment>
    <comment ref="T1912" authorId="7" shapeId="0" xr:uid="{00000000-0006-0000-0000-000078080000}">
      <text>
        <r>
          <rPr>
            <b/>
            <sz val="9"/>
            <color indexed="81"/>
            <rFont val="Tahoma"/>
            <family val="2"/>
          </rPr>
          <t>JEnnen:</t>
        </r>
        <r>
          <rPr>
            <sz val="9"/>
            <color indexed="81"/>
            <rFont val="Tahoma"/>
            <family val="2"/>
          </rPr>
          <t xml:space="preserve">
2-3 reported</t>
        </r>
      </text>
    </comment>
    <comment ref="L1913" authorId="7" shapeId="0" xr:uid="{00000000-0006-0000-0000-000079080000}">
      <text>
        <r>
          <rPr>
            <b/>
            <sz val="9"/>
            <color indexed="81"/>
            <rFont val="Tahoma"/>
            <family val="2"/>
          </rPr>
          <t>JEnnen:</t>
        </r>
        <r>
          <rPr>
            <sz val="9"/>
            <color indexed="81"/>
            <rFont val="Tahoma"/>
            <family val="2"/>
          </rPr>
          <t xml:space="preserve">
5-7</t>
        </r>
      </text>
    </comment>
    <comment ref="N1913" authorId="1073" shapeId="0" xr:uid="{00000000-0006-0000-0000-00007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43-48</t>
        </r>
      </text>
    </comment>
    <comment ref="P1913" authorId="1074" shapeId="0" xr:uid="{00000000-0006-0000-0000-00007B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40-50 by taking median</t>
        </r>
      </text>
    </comment>
    <comment ref="G1914" authorId="10" shapeId="0" xr:uid="{00000000-0006-0000-0000-00007C080000}">
      <text>
        <r>
          <rPr>
            <b/>
            <sz val="9"/>
            <color indexed="81"/>
            <rFont val="Arial"/>
            <family val="2"/>
          </rPr>
          <t>John Iverson:</t>
        </r>
        <r>
          <rPr>
            <sz val="9"/>
            <color indexed="81"/>
            <rFont val="Arial"/>
            <family val="2"/>
          </rPr>
          <t xml:space="preserve">
estimated</t>
        </r>
      </text>
    </comment>
    <comment ref="P1914" authorId="10" shapeId="0" xr:uid="{00000000-0006-0000-0000-00007D080000}">
      <text>
        <r>
          <rPr>
            <b/>
            <sz val="9"/>
            <color indexed="81"/>
            <rFont val="Arial"/>
            <family val="2"/>
          </rPr>
          <t>John Iverson:</t>
        </r>
        <r>
          <rPr>
            <sz val="9"/>
            <color indexed="81"/>
            <rFont val="Arial"/>
            <family val="2"/>
          </rPr>
          <t xml:space="preserve">
estimated from our egg data set for C. carbonaria</t>
        </r>
      </text>
    </comment>
    <comment ref="G1915" authorId="10" shapeId="0" xr:uid="{00000000-0006-0000-0000-00007E080000}">
      <text>
        <r>
          <rPr>
            <b/>
            <sz val="9"/>
            <color indexed="81"/>
            <rFont val="Arial"/>
            <family val="2"/>
          </rPr>
          <t>John Iverson:</t>
        </r>
        <r>
          <rPr>
            <sz val="9"/>
            <color indexed="81"/>
            <rFont val="Arial"/>
            <family val="2"/>
          </rPr>
          <t xml:space="preserve">
estimated</t>
        </r>
      </text>
    </comment>
    <comment ref="P1915" authorId="10" shapeId="0" xr:uid="{00000000-0006-0000-0000-00007F080000}">
      <text>
        <r>
          <rPr>
            <b/>
            <sz val="9"/>
            <color indexed="81"/>
            <rFont val="Arial"/>
            <family val="2"/>
          </rPr>
          <t>John Iverson:</t>
        </r>
        <r>
          <rPr>
            <sz val="9"/>
            <color indexed="81"/>
            <rFont val="Arial"/>
            <family val="2"/>
          </rPr>
          <t xml:space="preserve">
estimated from our egg data set for C. carbonaria</t>
        </r>
      </text>
    </comment>
    <comment ref="L1916" authorId="7" shapeId="0" xr:uid="{00000000-0006-0000-0000-000080080000}">
      <text>
        <r>
          <rPr>
            <b/>
            <sz val="9"/>
            <color indexed="81"/>
            <rFont val="Tahoma"/>
            <family val="2"/>
          </rPr>
          <t>JEnnen:</t>
        </r>
        <r>
          <rPr>
            <sz val="9"/>
            <color indexed="81"/>
            <rFont val="Tahoma"/>
            <family val="2"/>
          </rPr>
          <t xml:space="preserve">
2-7</t>
        </r>
      </text>
    </comment>
    <comment ref="J1917" authorId="10" shapeId="0" xr:uid="{00000000-0006-0000-0000-000081080000}">
      <text>
        <r>
          <rPr>
            <b/>
            <sz val="9"/>
            <color indexed="81"/>
            <rFont val="Arial"/>
            <family val="2"/>
          </rPr>
          <t>John Iverson:</t>
        </r>
        <r>
          <rPr>
            <sz val="9"/>
            <color indexed="81"/>
            <rFont val="Arial"/>
            <family val="2"/>
          </rPr>
          <t xml:space="preserve">
estimated from data on C. denticulata in Humair 2013</t>
        </r>
      </text>
    </comment>
    <comment ref="P1917" authorId="1075" shapeId="0" xr:uid="{00000000-0006-0000-0000-000082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T1917" authorId="7" shapeId="0" xr:uid="{00000000-0006-0000-0000-000083080000}">
      <text>
        <r>
          <rPr>
            <b/>
            <sz val="9"/>
            <color indexed="81"/>
            <rFont val="Tahoma"/>
            <family val="2"/>
          </rPr>
          <t>JEnnen:</t>
        </r>
        <r>
          <rPr>
            <sz val="9"/>
            <color indexed="81"/>
            <rFont val="Tahoma"/>
            <family val="2"/>
          </rPr>
          <t xml:space="preserve">
3-5 reported</t>
        </r>
      </text>
    </comment>
    <comment ref="P1918" authorId="1076" shapeId="0" xr:uid="{00000000-0006-0000-0000-00008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T1920" authorId="7" shapeId="0" xr:uid="{00000000-0006-0000-0000-000085080000}">
      <text>
        <r>
          <rPr>
            <b/>
            <sz val="9"/>
            <color indexed="81"/>
            <rFont val="Tahoma"/>
            <family val="2"/>
          </rPr>
          <t>JEnnen:</t>
        </r>
        <r>
          <rPr>
            <sz val="9"/>
            <color indexed="81"/>
            <rFont val="Tahoma"/>
            <family val="2"/>
          </rPr>
          <t xml:space="preserve">
1-5 reported</t>
        </r>
      </text>
    </comment>
    <comment ref="J1921" authorId="10" shapeId="0" xr:uid="{00000000-0006-0000-0000-000086080000}">
      <text>
        <r>
          <rPr>
            <b/>
            <sz val="9"/>
            <color indexed="81"/>
            <rFont val="Arial"/>
            <family val="2"/>
          </rPr>
          <t>John Iverson:</t>
        </r>
        <r>
          <rPr>
            <sz val="9"/>
            <color indexed="81"/>
            <rFont val="Arial"/>
            <family val="2"/>
          </rPr>
          <t xml:space="preserve">
estimated from data on C. denticulata in Humair 2013</t>
        </r>
      </text>
    </comment>
    <comment ref="N1921" authorId="10" shapeId="0" xr:uid="{00000000-0006-0000-0000-000087080000}">
      <text>
        <r>
          <rPr>
            <b/>
            <sz val="9"/>
            <color indexed="81"/>
            <rFont val="Arial"/>
            <family val="2"/>
          </rPr>
          <t>John Iverson:</t>
        </r>
        <r>
          <rPr>
            <sz val="9"/>
            <color indexed="81"/>
            <rFont val="Arial"/>
            <family val="2"/>
          </rPr>
          <t xml:space="preserve">
Eggs in Museum; not from measured females</t>
        </r>
      </text>
    </comment>
    <comment ref="P1921" authorId="1077" shapeId="0" xr:uid="{00000000-0006-0000-0000-000088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P1922" authorId="10" shapeId="0" xr:uid="{00000000-0006-0000-0000-000089080000}">
      <text>
        <r>
          <rPr>
            <b/>
            <sz val="9"/>
            <color indexed="81"/>
            <rFont val="Arial"/>
            <family val="2"/>
          </rPr>
          <t>John Iverson:</t>
        </r>
        <r>
          <rPr>
            <sz val="9"/>
            <color indexed="81"/>
            <rFont val="Arial"/>
            <family val="2"/>
          </rPr>
          <t xml:space="preserve">
41.13 if estimated by our egg data set</t>
        </r>
      </text>
    </comment>
    <comment ref="J1924" authorId="1078" shapeId="0" xr:uid="{00000000-0006-0000-0000-00008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Buskirk 1993
(July 2020)</t>
        </r>
      </text>
    </comment>
    <comment ref="P1924" authorId="1079" shapeId="0" xr:uid="{00000000-0006-0000-0000-00008B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dataset using C. carbonaria
Originally 34.3 g</t>
        </r>
      </text>
    </comment>
    <comment ref="L1925" authorId="1080" shapeId="0" xr:uid="{00000000-0006-0000-0000-00008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2</t>
        </r>
      </text>
    </comment>
    <comment ref="P1926" authorId="1081" shapeId="0" xr:uid="{00000000-0006-0000-0000-00008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dataset using S. pardalis data in Visser 1989"</t>
        </r>
      </text>
    </comment>
    <comment ref="P1927" authorId="1082" shapeId="0" xr:uid="{00000000-0006-0000-0000-00008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dataset using S. pardalis data in Visser 1989"</t>
        </r>
      </text>
    </comment>
    <comment ref="I1928" authorId="10" shapeId="0" xr:uid="{00000000-0006-0000-0000-00008F080000}">
      <text>
        <r>
          <rPr>
            <b/>
            <sz val="9"/>
            <color indexed="81"/>
            <rFont val="Arial"/>
            <family val="2"/>
          </rPr>
          <t>John Iverson:</t>
        </r>
        <r>
          <rPr>
            <sz val="9"/>
            <color indexed="81"/>
            <rFont val="Arial"/>
            <family val="2"/>
          </rPr>
          <t xml:space="preserve">
estimated from BM-CL data from Buskirk 1993</t>
        </r>
      </text>
    </comment>
    <comment ref="L1928" authorId="7" shapeId="0" xr:uid="{00000000-0006-0000-0000-000090080000}">
      <text>
        <r>
          <rPr>
            <b/>
            <sz val="9"/>
            <color indexed="81"/>
            <rFont val="Tahoma"/>
            <family val="2"/>
          </rPr>
          <t>JEnnen:</t>
        </r>
        <r>
          <rPr>
            <sz val="9"/>
            <color indexed="81"/>
            <rFont val="Tahoma"/>
            <family val="2"/>
          </rPr>
          <t xml:space="preserve">
1-3</t>
        </r>
      </text>
    </comment>
    <comment ref="L1929" authorId="10" shapeId="0" xr:uid="{00000000-0006-0000-0000-000091080000}">
      <text>
        <r>
          <rPr>
            <b/>
            <sz val="9"/>
            <color indexed="81"/>
            <rFont val="Arial"/>
            <family val="2"/>
          </rPr>
          <t>John Iverson:</t>
        </r>
        <r>
          <rPr>
            <sz val="9"/>
            <color indexed="81"/>
            <rFont val="Arial"/>
            <family val="2"/>
          </rPr>
          <t xml:space="preserve">
"2-4"</t>
        </r>
      </text>
    </comment>
    <comment ref="T1929" authorId="7" shapeId="0" xr:uid="{00000000-0006-0000-0000-000092080000}">
      <text>
        <r>
          <rPr>
            <b/>
            <sz val="9"/>
            <color indexed="81"/>
            <rFont val="Tahoma"/>
            <family val="2"/>
          </rPr>
          <t>JEnnen:</t>
        </r>
        <r>
          <rPr>
            <sz val="9"/>
            <color indexed="81"/>
            <rFont val="Tahoma"/>
            <family val="2"/>
          </rPr>
          <t xml:space="preserve">
2-4 reported</t>
        </r>
      </text>
    </comment>
    <comment ref="L1930" authorId="7" shapeId="0" xr:uid="{00000000-0006-0000-0000-000093080000}">
      <text>
        <r>
          <rPr>
            <b/>
            <sz val="9"/>
            <color indexed="81"/>
            <rFont val="Tahoma"/>
            <family val="2"/>
          </rPr>
          <t>JEnnen:</t>
        </r>
        <r>
          <rPr>
            <sz val="9"/>
            <color indexed="81"/>
            <rFont val="Tahoma"/>
            <family val="2"/>
          </rPr>
          <t xml:space="preserve">
2-6</t>
        </r>
      </text>
    </comment>
    <comment ref="P1930" authorId="1083" shapeId="0" xr:uid="{00000000-0006-0000-0000-00009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the egg dataset using S. pardalis data in Visser 1989"</t>
        </r>
      </text>
    </comment>
    <comment ref="J1931" authorId="1084" shapeId="0" xr:uid="{00000000-0006-0000-0000-00009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Buskirk 1993
(July 2020)</t>
        </r>
      </text>
    </comment>
    <comment ref="L1931" authorId="7" shapeId="0" xr:uid="{00000000-0006-0000-0000-000096080000}">
      <text>
        <r>
          <rPr>
            <b/>
            <sz val="9"/>
            <color indexed="81"/>
            <rFont val="Tahoma"/>
            <family val="2"/>
          </rPr>
          <t>JEnnen:</t>
        </r>
        <r>
          <rPr>
            <sz val="9"/>
            <color indexed="81"/>
            <rFont val="Tahoma"/>
            <family val="2"/>
          </rPr>
          <t xml:space="preserve">
1-7</t>
        </r>
      </text>
    </comment>
    <comment ref="L1932" authorId="10" shapeId="0" xr:uid="{00000000-0006-0000-0000-000097080000}">
      <text>
        <r>
          <rPr>
            <b/>
            <sz val="9"/>
            <color indexed="81"/>
            <rFont val="Arial"/>
            <family val="2"/>
          </rPr>
          <t>John Iverson:</t>
        </r>
        <r>
          <rPr>
            <sz val="9"/>
            <color indexed="81"/>
            <rFont val="Arial"/>
            <family val="2"/>
          </rPr>
          <t xml:space="preserve">
from Table 9.2</t>
        </r>
      </text>
    </comment>
    <comment ref="I1933" authorId="10" shapeId="0" xr:uid="{00000000-0006-0000-0000-000098080000}">
      <text>
        <r>
          <rPr>
            <b/>
            <sz val="9"/>
            <color indexed="81"/>
            <rFont val="Arial"/>
            <family val="2"/>
          </rPr>
          <t>John Iverson:</t>
        </r>
        <r>
          <rPr>
            <sz val="9"/>
            <color indexed="81"/>
            <rFont val="Arial"/>
            <family val="2"/>
          </rPr>
          <t xml:space="preserve">
Curved CL 83.75 estimated from Fig. 7 in MacFarland et al. 1974a; CCL/SCL ratio based on maximum values of each in Table 8.2 in Gibbs et al. 2020,</t>
        </r>
      </text>
    </comment>
    <comment ref="J1933" authorId="10" shapeId="0" xr:uid="{00000000-0006-0000-0000-000099080000}">
      <text>
        <r>
          <rPr>
            <b/>
            <sz val="9"/>
            <color indexed="81"/>
            <rFont val="Arial"/>
            <family val="2"/>
          </rPr>
          <t>John Iverson:</t>
        </r>
        <r>
          <rPr>
            <sz val="9"/>
            <color indexed="81"/>
            <rFont val="Arial"/>
            <family val="2"/>
          </rPr>
          <t xml:space="preserve">
estimated from Fig. S1. in Bastille-Rousseau  et al. (2016. J. Anim. Ecol. 85:1171-1181). From data for C. porteri and C, vandenburghi.</t>
        </r>
      </text>
    </comment>
    <comment ref="J1935" authorId="10" shapeId="0" xr:uid="{00000000-0006-0000-0000-00009A080000}">
      <text>
        <r>
          <rPr>
            <b/>
            <sz val="9"/>
            <color indexed="81"/>
            <rFont val="Arial"/>
            <family val="2"/>
          </rPr>
          <t>John Iverson:</t>
        </r>
        <r>
          <rPr>
            <sz val="9"/>
            <color indexed="81"/>
            <rFont val="Arial"/>
            <family val="2"/>
          </rPr>
          <t xml:space="preserve">
estimated from data in paper</t>
        </r>
      </text>
    </comment>
    <comment ref="J1936" authorId="10" shapeId="0" xr:uid="{00000000-0006-0000-0000-00009B080000}">
      <text>
        <r>
          <rPr>
            <b/>
            <sz val="9"/>
            <color indexed="81"/>
            <rFont val="Arial"/>
            <family val="2"/>
          </rPr>
          <t>John Iverson:</t>
        </r>
        <r>
          <rPr>
            <sz val="9"/>
            <color indexed="81"/>
            <rFont val="Arial"/>
            <family val="2"/>
          </rPr>
          <t xml:space="preserve">
estimated from the BM-CL data for C. carbonaria in Humair 2013</t>
        </r>
      </text>
    </comment>
    <comment ref="I1937" authorId="1085" shapeId="0" xr:uid="{00000000-0006-0000-0000-00009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BM = 0.003021*CL^2.4988 from Humair 2013 (July 2020)</t>
        </r>
      </text>
    </comment>
    <comment ref="L1938" authorId="7" shapeId="0" xr:uid="{00000000-0006-0000-0000-00009D080000}">
      <text>
        <r>
          <rPr>
            <b/>
            <sz val="9"/>
            <color indexed="81"/>
            <rFont val="Tahoma"/>
            <family val="2"/>
          </rPr>
          <t>JEnnen:</t>
        </r>
        <r>
          <rPr>
            <sz val="9"/>
            <color indexed="81"/>
            <rFont val="Tahoma"/>
            <family val="2"/>
          </rPr>
          <t xml:space="preserve">
1-8</t>
        </r>
      </text>
    </comment>
    <comment ref="P1939" authorId="1086" shapeId="0" xr:uid="{00000000-0006-0000-0000-00009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C. carbonarius (Dec 2020)</t>
        </r>
      </text>
    </comment>
    <comment ref="K1940" authorId="7" shapeId="0" xr:uid="{00000000-0006-0000-0000-00009F080000}">
      <text>
        <r>
          <rPr>
            <b/>
            <sz val="9"/>
            <color indexed="81"/>
            <rFont val="Tahoma"/>
            <family val="2"/>
          </rPr>
          <t>JEnnen:</t>
        </r>
        <r>
          <rPr>
            <sz val="9"/>
            <color indexed="81"/>
            <rFont val="Tahoma"/>
            <family val="2"/>
          </rPr>
          <t xml:space="preserve">
12-15 reported</t>
        </r>
      </text>
    </comment>
    <comment ref="L1940" authorId="7" shapeId="0" xr:uid="{00000000-0006-0000-0000-0000A0080000}">
      <text>
        <r>
          <rPr>
            <b/>
            <sz val="9"/>
            <color indexed="81"/>
            <rFont val="Tahoma"/>
            <family val="2"/>
          </rPr>
          <t>JEnnen:</t>
        </r>
        <r>
          <rPr>
            <sz val="9"/>
            <color indexed="81"/>
            <rFont val="Tahoma"/>
            <family val="2"/>
          </rPr>
          <t xml:space="preserve">
5-8</t>
        </r>
      </text>
    </comment>
    <comment ref="P1940" authorId="1087" shapeId="0" xr:uid="{00000000-0006-0000-0000-0000A1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C. carbonarius (Dec 2020)</t>
        </r>
      </text>
    </comment>
    <comment ref="I1942" authorId="10" shapeId="0" xr:uid="{00000000-0006-0000-0000-0000A2080000}">
      <text>
        <r>
          <rPr>
            <b/>
            <sz val="9"/>
            <color indexed="81"/>
            <rFont val="Arial"/>
            <family val="2"/>
          </rPr>
          <t>John Iverson:</t>
        </r>
        <r>
          <rPr>
            <sz val="9"/>
            <color indexed="81"/>
            <rFont val="Arial"/>
            <family val="2"/>
          </rPr>
          <t xml:space="preserve">
Curved CL 62.27 estimated from Fig. 7 in McFarland et al 1974a; CCL/SCL ratio based on maximum values of each in Table 8.2 in Gibbs et al. 2020,
</t>
        </r>
      </text>
    </comment>
    <comment ref="J1942" authorId="10" shapeId="0" xr:uid="{00000000-0006-0000-0000-0000A3080000}">
      <text>
        <r>
          <rPr>
            <b/>
            <sz val="9"/>
            <color indexed="81"/>
            <rFont val="Arial"/>
            <family val="2"/>
          </rPr>
          <t>John Iverson:</t>
        </r>
        <r>
          <rPr>
            <sz val="9"/>
            <color indexed="81"/>
            <rFont val="Arial"/>
            <family val="2"/>
          </rPr>
          <t xml:space="preserve">
estimated from Fig. S1. in Bastille-Rousseau  et al. (2016. J. Anim. Ecol. 85:1171-1181).from data for C. hoodensis.</t>
        </r>
      </text>
    </comment>
    <comment ref="K1944" authorId="7" shapeId="0" xr:uid="{00000000-0006-0000-0000-0000A4080000}">
      <text>
        <r>
          <rPr>
            <b/>
            <sz val="9"/>
            <color indexed="81"/>
            <rFont val="Tahoma"/>
            <family val="2"/>
          </rPr>
          <t>JEnnen:</t>
        </r>
        <r>
          <rPr>
            <sz val="9"/>
            <color indexed="81"/>
            <rFont val="Tahoma"/>
            <family val="2"/>
          </rPr>
          <t xml:space="preserve">
17-23 reported</t>
        </r>
      </text>
    </comment>
    <comment ref="N1945" authorId="1088" shapeId="0" xr:uid="{00000000-0006-0000-0000-0000A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60</t>
        </r>
      </text>
    </comment>
    <comment ref="P1945" authorId="1089" shapeId="0" xr:uid="{00000000-0006-0000-0000-0000A6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114-149 by taking median</t>
        </r>
      </text>
    </comment>
    <comment ref="I1946" authorId="1090" shapeId="0" xr:uid="{00000000-0006-0000-0000-0000A7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Aldabrachelys gigantea from Aworer and Ramchurn 2003</t>
        </r>
      </text>
    </comment>
    <comment ref="I1947" authorId="10" shapeId="0" xr:uid="{00000000-0006-0000-0000-0000A8080000}">
      <text>
        <r>
          <rPr>
            <b/>
            <sz val="9"/>
            <color indexed="81"/>
            <rFont val="Arial"/>
            <family val="2"/>
          </rPr>
          <t>John Iverson:</t>
        </r>
        <r>
          <rPr>
            <sz val="9"/>
            <color indexed="81"/>
            <rFont val="Arial"/>
            <family val="2"/>
          </rPr>
          <t xml:space="preserve">
"85 to 118 cm" curved CL</t>
        </r>
      </text>
    </comment>
    <comment ref="N1947" authorId="1091" shapeId="0" xr:uid="{00000000-0006-0000-0000-0000A9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55-68 by taking median</t>
        </r>
      </text>
    </comment>
    <comment ref="N1948" authorId="1092" shapeId="0" xr:uid="{00000000-0006-0000-0000-0000A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55-68 by taking median</t>
        </r>
      </text>
    </comment>
    <comment ref="O1948" authorId="1093" shapeId="0" xr:uid="{00000000-0006-0000-0000-0000AB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55-68 by taking median</t>
        </r>
      </text>
    </comment>
    <comment ref="P1948" authorId="10" shapeId="0" xr:uid="{00000000-0006-0000-0000-0000AC080000}">
      <text>
        <r>
          <rPr>
            <b/>
            <sz val="9"/>
            <color indexed="81"/>
            <rFont val="Arial"/>
            <family val="2"/>
          </rPr>
          <t>John Iverson:</t>
        </r>
        <r>
          <rPr>
            <sz val="9"/>
            <color indexed="81"/>
            <rFont val="Arial"/>
            <family val="2"/>
          </rPr>
          <t xml:space="preserve">
no tortoise eggs are this big in data set</t>
        </r>
      </text>
    </comment>
    <comment ref="T1948" authorId="7" shapeId="0" xr:uid="{00000000-0006-0000-0000-0000AD080000}">
      <text>
        <r>
          <rPr>
            <b/>
            <sz val="9"/>
            <color indexed="81"/>
            <rFont val="Tahoma"/>
            <family val="2"/>
          </rPr>
          <t>JEnnen:</t>
        </r>
        <r>
          <rPr>
            <sz val="9"/>
            <color indexed="81"/>
            <rFont val="Tahoma"/>
            <family val="2"/>
          </rPr>
          <t xml:space="preserve">
2-4 reported</t>
        </r>
      </text>
    </comment>
    <comment ref="N1949" authorId="1094" shapeId="0" xr:uid="{00000000-0006-0000-0000-0000A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57.6-68.8 by taking median</t>
        </r>
      </text>
    </comment>
    <comment ref="O1949" authorId="1095" shapeId="0" xr:uid="{00000000-0006-0000-0000-0000AF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54.2-56.3 by taking median</t>
        </r>
      </text>
    </comment>
    <comment ref="P1949" authorId="1096" shapeId="0" xr:uid="{00000000-0006-0000-0000-0000B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98.8-113.9 by taking median</t>
        </r>
      </text>
    </comment>
    <comment ref="R1949" authorId="10" shapeId="0" xr:uid="{00000000-0006-0000-0000-0000B1080000}">
      <text>
        <r>
          <rPr>
            <b/>
            <sz val="9"/>
            <color indexed="81"/>
            <rFont val="Arial"/>
            <family val="2"/>
          </rPr>
          <t>John Iverson:</t>
        </r>
        <r>
          <rPr>
            <sz val="9"/>
            <color indexed="81"/>
            <rFont val="Arial"/>
            <family val="2"/>
          </rPr>
          <t xml:space="preserve">
estimated</t>
        </r>
      </text>
    </comment>
    <comment ref="N1951" authorId="1097" shapeId="0" xr:uid="{00000000-0006-0000-0000-0000B2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EL &gt; 50 mm</t>
        </r>
      </text>
    </comment>
    <comment ref="T1954" authorId="1098" shapeId="0" xr:uid="{00000000-0006-0000-0000-0000B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3-4 by median; at least 4</t>
        </r>
      </text>
    </comment>
    <comment ref="K1955" authorId="1099" shapeId="0" xr:uid="{00000000-0006-0000-0000-0000B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range 16-19 from median</t>
        </r>
      </text>
    </comment>
    <comment ref="T1957" authorId="7" shapeId="0" xr:uid="{00000000-0006-0000-0000-0000B5080000}">
      <text>
        <r>
          <rPr>
            <b/>
            <sz val="9"/>
            <color indexed="81"/>
            <rFont val="Tahoma"/>
            <family val="2"/>
          </rPr>
          <t>JEnnen:</t>
        </r>
        <r>
          <rPr>
            <sz val="9"/>
            <color indexed="81"/>
            <rFont val="Tahoma"/>
            <family val="2"/>
          </rPr>
          <t xml:space="preserve">
1-3 reported</t>
        </r>
      </text>
    </comment>
    <comment ref="I1960" authorId="10" shapeId="0" xr:uid="{00000000-0006-0000-0000-0000B6080000}">
      <text>
        <r>
          <rPr>
            <b/>
            <sz val="9"/>
            <color indexed="81"/>
            <rFont val="Arial"/>
            <family val="2"/>
          </rPr>
          <t>John Iverson:</t>
        </r>
        <r>
          <rPr>
            <sz val="9"/>
            <color indexed="81"/>
            <rFont val="Arial"/>
            <family val="2"/>
          </rPr>
          <t xml:space="preserve">
Curved CL 89.36 estimated from Fig. 7 in MacFarland et al. 1974a; CCL/SCL ratio based on maximum values of each in Table 8.2 in Gibbs et al. 2020,</t>
        </r>
      </text>
    </comment>
    <comment ref="J1960" authorId="10" shapeId="0" xr:uid="{00000000-0006-0000-0000-0000B7080000}">
      <text>
        <r>
          <rPr>
            <b/>
            <sz val="9"/>
            <color indexed="81"/>
            <rFont val="Arial"/>
            <family val="2"/>
          </rPr>
          <t>John Iverson:</t>
        </r>
        <r>
          <rPr>
            <sz val="9"/>
            <color indexed="81"/>
            <rFont val="Arial"/>
            <family val="2"/>
          </rPr>
          <t xml:space="preserve">
estimated from Fig. S1. in Bastille-Rousseau  et al. (2016. J. Anim. Ecol. 85:1171-1181).</t>
        </r>
      </text>
    </comment>
    <comment ref="I1964" authorId="10" shapeId="0" xr:uid="{00000000-0006-0000-0000-0000B8080000}">
      <text>
        <r>
          <rPr>
            <b/>
            <sz val="9"/>
            <color indexed="81"/>
            <rFont val="Arial"/>
            <family val="2"/>
          </rPr>
          <t>John Iverson:</t>
        </r>
        <r>
          <rPr>
            <sz val="9"/>
            <color indexed="81"/>
            <rFont val="Arial"/>
            <family val="2"/>
          </rPr>
          <t xml:space="preserve">
Curved CL 91.27 estimated from Fig. 7 in MacFarland et al. 1974a; CCL/SCL ratio based on maximum values of each in Table 8.2 in Gibbs et al. 2020,</t>
        </r>
      </text>
    </comment>
    <comment ref="J1964" authorId="10" shapeId="0" xr:uid="{00000000-0006-0000-0000-0000B9080000}">
      <text>
        <r>
          <rPr>
            <b/>
            <sz val="9"/>
            <color indexed="81"/>
            <rFont val="Arial"/>
            <family val="2"/>
          </rPr>
          <t>John Iverson:</t>
        </r>
        <r>
          <rPr>
            <sz val="9"/>
            <color indexed="81"/>
            <rFont val="Arial"/>
            <family val="2"/>
          </rPr>
          <t xml:space="preserve">
estimated from Fig. S1. in Bastille-Rousseau  et al. (2016. J. Anim. Ecol. 85:1171-1181).</t>
        </r>
      </text>
    </comment>
    <comment ref="I1965" authorId="10" shapeId="0" xr:uid="{00000000-0006-0000-0000-0000BA080000}">
      <text>
        <r>
          <rPr>
            <b/>
            <sz val="9"/>
            <color indexed="81"/>
            <rFont val="Arial"/>
            <family val="2"/>
          </rPr>
          <t>John Iverson:</t>
        </r>
        <r>
          <rPr>
            <sz val="9"/>
            <color indexed="81"/>
            <rFont val="Arial"/>
            <family val="2"/>
          </rPr>
          <t xml:space="preserve">
Curved CL 83.37 estimated from Fig. 7 in MacFarland et al. 1974a; CCL/SCL ratio based on maximum values of each in Table 8.2 in Gibbs et al. 2020,</t>
        </r>
      </text>
    </comment>
    <comment ref="J1965" authorId="10" shapeId="0" xr:uid="{00000000-0006-0000-0000-0000BB080000}">
      <text>
        <r>
          <rPr>
            <b/>
            <sz val="9"/>
            <color indexed="81"/>
            <rFont val="Arial"/>
            <family val="2"/>
          </rPr>
          <t>John Iverson:</t>
        </r>
        <r>
          <rPr>
            <sz val="9"/>
            <color indexed="81"/>
            <rFont val="Arial"/>
            <family val="2"/>
          </rPr>
          <t xml:space="preserve">
estimated from Fig. S1. in Bastille-Rousseau  et al. (2016. J. Anim. Ecol. 85:1171-1181). From data for C. porteri and C, vandenburghi.</t>
        </r>
      </text>
    </comment>
    <comment ref="L1966" authorId="10" shapeId="0" xr:uid="{00000000-0006-0000-0000-0000BC080000}">
      <text>
        <r>
          <rPr>
            <b/>
            <sz val="9"/>
            <color indexed="81"/>
            <rFont val="Arial"/>
            <family val="2"/>
          </rPr>
          <t>John Iverson:</t>
        </r>
        <r>
          <rPr>
            <sz val="9"/>
            <color indexed="81"/>
            <rFont val="Arial"/>
            <family val="2"/>
          </rPr>
          <t xml:space="preserve">
from Table 9.2</t>
        </r>
      </text>
    </comment>
    <comment ref="P1967" authorId="10" shapeId="0" xr:uid="{00000000-0006-0000-0000-0000BD080000}">
      <text>
        <r>
          <rPr>
            <b/>
            <sz val="9"/>
            <color indexed="81"/>
            <rFont val="Arial"/>
            <family val="2"/>
          </rPr>
          <t>John Iverson:</t>
        </r>
        <r>
          <rPr>
            <sz val="9"/>
            <color indexed="81"/>
            <rFont val="Arial"/>
            <family val="2"/>
          </rPr>
          <t xml:space="preserve">
estimated from our egg data set for Chelonoidis carbonaria</t>
        </r>
      </text>
    </comment>
    <comment ref="K1968" authorId="1100" shapeId="0" xr:uid="{00000000-0006-0000-0000-0000B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6-7 reported</t>
        </r>
      </text>
    </comment>
    <comment ref="T1970" authorId="7" shapeId="0" xr:uid="{00000000-0006-0000-0000-0000BF080000}">
      <text>
        <r>
          <rPr>
            <b/>
            <sz val="9"/>
            <color indexed="81"/>
            <rFont val="Tahoma"/>
            <family val="2"/>
          </rPr>
          <t>JEnnen:</t>
        </r>
        <r>
          <rPr>
            <sz val="9"/>
            <color indexed="81"/>
            <rFont val="Tahoma"/>
            <family val="2"/>
          </rPr>
          <t xml:space="preserve">
2-3 reported</t>
        </r>
      </text>
    </comment>
    <comment ref="I1971" authorId="7" shapeId="0" xr:uid="{00000000-0006-0000-0000-0000C0080000}">
      <text>
        <r>
          <rPr>
            <b/>
            <sz val="9"/>
            <color indexed="81"/>
            <rFont val="Tahoma"/>
            <family val="2"/>
          </rPr>
          <t>JEnnen:</t>
        </r>
        <r>
          <rPr>
            <sz val="9"/>
            <color indexed="81"/>
            <rFont val="Tahoma"/>
            <family val="2"/>
          </rPr>
          <t xml:space="preserve">
13.54 - 20.44 reported</t>
        </r>
      </text>
    </comment>
    <comment ref="J1971" authorId="1101" shapeId="0" xr:uid="{00000000-0006-0000-0000-0000C1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Geochelone elegans from Deraniyagala 1939</t>
        </r>
      </text>
    </comment>
    <comment ref="P1972" authorId="10" shapeId="0" xr:uid="{00000000-0006-0000-0000-0000C2080000}">
      <text>
        <r>
          <rPr>
            <b/>
            <sz val="9"/>
            <color indexed="81"/>
            <rFont val="Arial"/>
            <family val="2"/>
          </rPr>
          <t>John Iverson:</t>
        </r>
        <r>
          <rPr>
            <sz val="9"/>
            <color indexed="81"/>
            <rFont val="Arial"/>
            <family val="2"/>
          </rPr>
          <t xml:space="preserve">
estimated from our egg data set for P. arachnoides</t>
        </r>
      </text>
    </comment>
    <comment ref="P1973" authorId="1102" shapeId="0" xr:uid="{00000000-0006-0000-0000-0000C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using Testudo hermanni (DEC 2020)</t>
        </r>
      </text>
    </comment>
    <comment ref="J1976" authorId="1103" shapeId="0" xr:uid="{00000000-0006-0000-0000-0000C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Geochelone elegans from Deraniyagala 1939</t>
        </r>
      </text>
    </comment>
    <comment ref="P1980" authorId="1104" shapeId="0" xr:uid="{00000000-0006-0000-0000-0000C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 our egg data set for T. hermanni</t>
        </r>
      </text>
    </comment>
    <comment ref="P1981" authorId="1105" shapeId="0" xr:uid="{00000000-0006-0000-0000-0000C6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 our egg data set for T. hermanni</t>
        </r>
      </text>
    </comment>
    <comment ref="P1982" authorId="1106" shapeId="0" xr:uid="{00000000-0006-0000-0000-0000C7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 our egg data set for T. hermanni</t>
        </r>
      </text>
    </comment>
    <comment ref="T1983" authorId="7" shapeId="0" xr:uid="{00000000-0006-0000-0000-0000C8080000}">
      <text>
        <r>
          <rPr>
            <b/>
            <sz val="9"/>
            <color indexed="81"/>
            <rFont val="Tahoma"/>
            <family val="2"/>
          </rPr>
          <t>JEnnen:</t>
        </r>
        <r>
          <rPr>
            <sz val="9"/>
            <color indexed="81"/>
            <rFont val="Tahoma"/>
            <family val="2"/>
          </rPr>
          <t xml:space="preserve">
1-2 reported</t>
        </r>
      </text>
    </comment>
    <comment ref="J1986" authorId="1107" shapeId="0" xr:uid="{00000000-0006-0000-0000-0000C9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Chersine angulata from Branch 1984</t>
        </r>
      </text>
    </comment>
    <comment ref="P1987" authorId="1108" shapeId="0" xr:uid="{00000000-0006-0000-0000-0000C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 our egg data set for T. hermanni</t>
        </r>
      </text>
    </comment>
    <comment ref="G1988" authorId="1109" shapeId="0" xr:uid="{00000000-0006-0000-0000-0000CB080000}">
      <text>
        <r>
          <rPr>
            <sz val="10"/>
            <color rgb="FF000000"/>
            <rFont val="Arial"/>
            <family val="2"/>
          </rPr>
          <t xml:space="preserve">
Comment:
    estimated ca. -29.6</t>
        </r>
      </text>
    </comment>
    <comment ref="P1988" authorId="1110" shapeId="0" xr:uid="{00000000-0006-0000-0000-0000C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 our egg data set for T. hermanni</t>
        </r>
      </text>
    </comment>
    <comment ref="K1989" authorId="1111" shapeId="0" xr:uid="{00000000-0006-0000-0000-0000C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11-12 years reported</t>
        </r>
      </text>
    </comment>
    <comment ref="P1990" authorId="1112" shapeId="0" xr:uid="{00000000-0006-0000-0000-0000C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on our egg data set for T. hermanni</t>
        </r>
      </text>
    </comment>
    <comment ref="I1991" authorId="1113" shapeId="0" xr:uid="{00000000-0006-0000-0000-0000CF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Chersine angulata from Branch 1984</t>
        </r>
      </text>
    </comment>
    <comment ref="L1991" authorId="10" shapeId="0" xr:uid="{00000000-0006-0000-0000-0000D0080000}">
      <text>
        <r>
          <rPr>
            <b/>
            <sz val="9"/>
            <color indexed="81"/>
            <rFont val="Arial"/>
            <family val="2"/>
          </rPr>
          <t>John Iverson:</t>
        </r>
        <r>
          <rPr>
            <sz val="9"/>
            <color indexed="81"/>
            <rFont val="Arial"/>
            <family val="2"/>
          </rPr>
          <t xml:space="preserve">
two eggs found but had to be two clutches</t>
        </r>
      </text>
    </comment>
    <comment ref="J1992" authorId="1114" shapeId="0" xr:uid="{00000000-0006-0000-0000-0000D1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Chersine angulata from Branch 1984</t>
        </r>
      </text>
    </comment>
    <comment ref="J1995" authorId="1115" shapeId="0" xr:uid="{00000000-0006-0000-0000-0000D2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plots from Galapagos tortoises (Bastille-Rousseau et al. 2016; J. Animal Ecology) - a crude estimate of 28kg</t>
        </r>
      </text>
    </comment>
    <comment ref="P1995" authorId="1116" shapeId="0" xr:uid="{00000000-0006-0000-0000-0000D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G. polyphemus.</t>
        </r>
      </text>
    </comment>
    <comment ref="I1996" authorId="11" shapeId="0" xr:uid="{00000000-0006-0000-0000-0000D4080000}">
      <text>
        <r>
          <rPr>
            <b/>
            <sz val="9"/>
            <color indexed="81"/>
            <rFont val="Tahoma"/>
            <family val="2"/>
          </rPr>
          <t>TNACI:</t>
        </r>
        <r>
          <rPr>
            <sz val="9"/>
            <color indexed="81"/>
            <rFont val="Tahoma"/>
            <family val="2"/>
          </rPr>
          <t xml:space="preserve">
Estimated from BM = 0.6360*CL^2.548 (Deraniyagala 1939)</t>
        </r>
      </text>
    </comment>
    <comment ref="P1996" authorId="11" shapeId="0" xr:uid="{00000000-0006-0000-0000-0000D5080000}">
      <text>
        <r>
          <rPr>
            <b/>
            <sz val="9"/>
            <color indexed="81"/>
            <rFont val="Tahoma"/>
            <family val="2"/>
          </rPr>
          <t>TNACI:</t>
        </r>
        <r>
          <rPr>
            <sz val="9"/>
            <color indexed="81"/>
            <rFont val="Tahoma"/>
            <family val="2"/>
          </rPr>
          <t xml:space="preserve">
estimated from EM = 0680.EL + 1.346EW - 46.145 Iverson unpublished data</t>
        </r>
      </text>
    </comment>
    <comment ref="K1997" authorId="7" shapeId="0" xr:uid="{00000000-0006-0000-0000-0000D6080000}">
      <text>
        <r>
          <rPr>
            <b/>
            <sz val="9"/>
            <color indexed="81"/>
            <rFont val="Tahoma"/>
            <family val="2"/>
          </rPr>
          <t>JEnnen:</t>
        </r>
        <r>
          <rPr>
            <sz val="9"/>
            <color indexed="81"/>
            <rFont val="Tahoma"/>
            <family val="2"/>
          </rPr>
          <t xml:space="preserve">
10-12 reported</t>
        </r>
      </text>
    </comment>
    <comment ref="L1997" authorId="7" shapeId="0" xr:uid="{00000000-0006-0000-0000-0000D7080000}">
      <text>
        <r>
          <rPr>
            <b/>
            <sz val="9"/>
            <color indexed="81"/>
            <rFont val="Tahoma"/>
            <family val="2"/>
          </rPr>
          <t>JEnnen:</t>
        </r>
        <r>
          <rPr>
            <sz val="9"/>
            <color indexed="81"/>
            <rFont val="Tahoma"/>
            <family val="2"/>
          </rPr>
          <t xml:space="preserve">
3-6</t>
        </r>
      </text>
    </comment>
    <comment ref="P1997" authorId="11" shapeId="0" xr:uid="{00000000-0006-0000-0000-0000D8080000}">
      <text>
        <r>
          <rPr>
            <b/>
            <sz val="9"/>
            <color indexed="81"/>
            <rFont val="Tahoma"/>
            <family val="2"/>
          </rPr>
          <t>TNACI:</t>
        </r>
        <r>
          <rPr>
            <sz val="9"/>
            <color indexed="81"/>
            <rFont val="Tahoma"/>
            <family val="2"/>
          </rPr>
          <t xml:space="preserve">
estimated from EM = 0680.EL + 1.346EW - 46.145 Iverson unpublished data</t>
        </r>
      </text>
    </comment>
    <comment ref="I1998" authorId="11" shapeId="0" xr:uid="{00000000-0006-0000-0000-0000D9080000}">
      <text>
        <r>
          <rPr>
            <b/>
            <sz val="9"/>
            <color indexed="81"/>
            <rFont val="Tahoma"/>
            <family val="2"/>
          </rPr>
          <t>TNACI:</t>
        </r>
        <r>
          <rPr>
            <sz val="9"/>
            <color indexed="81"/>
            <rFont val="Tahoma"/>
            <family val="2"/>
          </rPr>
          <t xml:space="preserve">
Estimated from BM = 0.6360*CL^2.548 (Deraniyagala 1939)</t>
        </r>
      </text>
    </comment>
    <comment ref="P1998" authorId="1117" shapeId="0" xr:uid="{00000000-0006-0000-0000-0000D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18-24 by taking median</t>
        </r>
      </text>
    </comment>
    <comment ref="P1999" authorId="10" shapeId="0" xr:uid="{00000000-0006-0000-0000-0000DB080000}">
      <text>
        <r>
          <rPr>
            <b/>
            <sz val="9"/>
            <color indexed="81"/>
            <rFont val="Arial"/>
            <family val="2"/>
          </rPr>
          <t>John Iverson:</t>
        </r>
        <r>
          <rPr>
            <sz val="9"/>
            <color indexed="81"/>
            <rFont val="Arial"/>
            <family val="2"/>
          </rPr>
          <t xml:space="preserve">
estimated from our egg data set for G.elegans</t>
        </r>
      </text>
    </comment>
    <comment ref="J2000" authorId="1118" shapeId="0" xr:uid="{00000000-0006-0000-0000-0000D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0.6360*CL^2.548 via Deraniyagala 1939</t>
        </r>
      </text>
    </comment>
    <comment ref="J2002" authorId="1119" shapeId="0" xr:uid="{00000000-0006-0000-0000-0000D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0.6360*CL^2.548 via Deraniyagala 1939</t>
        </r>
      </text>
    </comment>
    <comment ref="L2002" authorId="7" shapeId="0" xr:uid="{00000000-0006-0000-0000-0000DE080000}">
      <text>
        <r>
          <rPr>
            <b/>
            <sz val="9"/>
            <color indexed="81"/>
            <rFont val="Tahoma"/>
            <family val="2"/>
          </rPr>
          <t>JEnnen:</t>
        </r>
        <r>
          <rPr>
            <sz val="9"/>
            <color indexed="81"/>
            <rFont val="Tahoma"/>
            <family val="2"/>
          </rPr>
          <t xml:space="preserve">
3-10</t>
        </r>
      </text>
    </comment>
    <comment ref="O2002" authorId="1120" shapeId="0" xr:uid="{00000000-0006-0000-0000-0000DF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30-38 by taking median</t>
        </r>
      </text>
    </comment>
    <comment ref="P2002" authorId="1121" shapeId="0" xr:uid="{00000000-0006-0000-0000-0000E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22-38 by taking median</t>
        </r>
      </text>
    </comment>
    <comment ref="P2003" authorId="11" shapeId="0" xr:uid="{00000000-0006-0000-0000-0000E1080000}">
      <text>
        <r>
          <rPr>
            <b/>
            <sz val="9"/>
            <color indexed="81"/>
            <rFont val="Tahoma"/>
            <family val="2"/>
          </rPr>
          <t>TNACI:</t>
        </r>
        <r>
          <rPr>
            <sz val="9"/>
            <color indexed="81"/>
            <rFont val="Tahoma"/>
            <family val="2"/>
          </rPr>
          <t xml:space="preserve">
estimated from EM = 0680.EL + 1.346EW - 46.145 Iverson unpublished data</t>
        </r>
      </text>
    </comment>
    <comment ref="L2004" authorId="7" shapeId="0" xr:uid="{00000000-0006-0000-0000-0000E2080000}">
      <text>
        <r>
          <rPr>
            <b/>
            <sz val="9"/>
            <color indexed="81"/>
            <rFont val="Tahoma"/>
            <family val="2"/>
          </rPr>
          <t>JEnnen:</t>
        </r>
        <r>
          <rPr>
            <sz val="9"/>
            <color indexed="81"/>
            <rFont val="Tahoma"/>
            <family val="2"/>
          </rPr>
          <t xml:space="preserve">
3-7</t>
        </r>
      </text>
    </comment>
    <comment ref="O2004" authorId="1122" shapeId="0" xr:uid="{00000000-0006-0000-0000-0000E3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22-32 by taking median</t>
        </r>
      </text>
    </comment>
    <comment ref="I2005" authorId="11" shapeId="0" xr:uid="{00000000-0006-0000-0000-0000E4080000}">
      <text>
        <r>
          <rPr>
            <b/>
            <sz val="9"/>
            <color indexed="81"/>
            <rFont val="Tahoma"/>
            <family val="2"/>
          </rPr>
          <t>TNACI:</t>
        </r>
        <r>
          <rPr>
            <sz val="9"/>
            <color indexed="81"/>
            <rFont val="Tahoma"/>
            <family val="2"/>
          </rPr>
          <t xml:space="preserve">
Estimated from BM = 0.6360*CL^2.548 (Deraniyagala 1939)</t>
        </r>
      </text>
    </comment>
    <comment ref="J2005" authorId="1123" shapeId="0" xr:uid="{00000000-0006-0000-0000-0000E5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CM plus spent BM</t>
        </r>
      </text>
    </comment>
    <comment ref="L2005" authorId="11" shapeId="0" xr:uid="{00000000-0006-0000-0000-0000E6080000}">
      <text>
        <r>
          <rPr>
            <b/>
            <sz val="9"/>
            <color indexed="81"/>
            <rFont val="Tahoma"/>
            <family val="2"/>
          </rPr>
          <t>TNACI:</t>
        </r>
        <r>
          <rPr>
            <sz val="9"/>
            <color indexed="81"/>
            <rFont val="Tahoma"/>
            <family val="2"/>
          </rPr>
          <t xml:space="preserve">
N = 1</t>
        </r>
      </text>
    </comment>
    <comment ref="T2006" authorId="7" shapeId="0" xr:uid="{00000000-0006-0000-0000-0000E7080000}">
      <text>
        <r>
          <rPr>
            <b/>
            <sz val="9"/>
            <color indexed="81"/>
            <rFont val="Tahoma"/>
            <family val="2"/>
          </rPr>
          <t>JEnnen:</t>
        </r>
        <r>
          <rPr>
            <sz val="9"/>
            <color indexed="81"/>
            <rFont val="Tahoma"/>
            <family val="2"/>
          </rPr>
          <t xml:space="preserve">
range 1-2</t>
        </r>
      </text>
    </comment>
    <comment ref="P2008" authorId="1124" shapeId="0" xr:uid="{00000000-0006-0000-0000-0000E8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Geochelone elegans</t>
        </r>
      </text>
    </comment>
    <comment ref="T2009" authorId="7" shapeId="0" xr:uid="{00000000-0006-0000-0000-0000E9080000}">
      <text>
        <r>
          <rPr>
            <b/>
            <sz val="9"/>
            <color indexed="81"/>
            <rFont val="Tahoma"/>
            <family val="2"/>
          </rPr>
          <t>JEnnen:</t>
        </r>
        <r>
          <rPr>
            <sz val="9"/>
            <color indexed="81"/>
            <rFont val="Tahoma"/>
            <family val="2"/>
          </rPr>
          <t xml:space="preserve">
1-4 reported</t>
        </r>
      </text>
    </comment>
    <comment ref="J2010" authorId="11" shapeId="0" xr:uid="{00000000-0006-0000-0000-0000EA080000}">
      <text>
        <r>
          <rPr>
            <b/>
            <sz val="9"/>
            <color indexed="81"/>
            <rFont val="Tahoma"/>
            <family val="2"/>
          </rPr>
          <t>TNACI:</t>
        </r>
        <r>
          <rPr>
            <sz val="9"/>
            <color indexed="81"/>
            <rFont val="Tahoma"/>
            <family val="2"/>
          </rPr>
          <t xml:space="preserve">
Estimated from BM = 1.79143*CL^2.3035 Lovich pers. Comm.</t>
        </r>
      </text>
    </comment>
    <comment ref="O2012" authorId="10" shapeId="0" xr:uid="{00000000-0006-0000-0000-0000EB080000}">
      <text>
        <r>
          <rPr>
            <b/>
            <sz val="9"/>
            <color indexed="81"/>
            <rFont val="Arial"/>
            <family val="2"/>
          </rPr>
          <t>John Iverson:</t>
        </r>
        <r>
          <rPr>
            <sz val="9"/>
            <color indexed="81"/>
            <rFont val="Arial"/>
            <family val="2"/>
          </rPr>
          <t xml:space="preserve">
x-ray width</t>
        </r>
      </text>
    </comment>
    <comment ref="P2012" authorId="1125" shapeId="0" xr:uid="{00000000-0006-0000-0000-0000EC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I2015" authorId="1126" shapeId="0" xr:uid="{00000000-0006-0000-0000-0000E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Lovich pers. com.</t>
        </r>
      </text>
    </comment>
    <comment ref="P2016" authorId="1127" shapeId="0" xr:uid="{00000000-0006-0000-0000-0000EE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17" authorId="11" shapeId="0" xr:uid="{00000000-0006-0000-0000-0000EF080000}">
      <text>
        <r>
          <rPr>
            <b/>
            <sz val="9"/>
            <color indexed="81"/>
            <rFont val="Tahoma"/>
            <family val="2"/>
          </rPr>
          <t>TNACI:</t>
        </r>
        <r>
          <rPr>
            <sz val="9"/>
            <color indexed="81"/>
            <rFont val="Tahoma"/>
            <family val="2"/>
          </rPr>
          <t xml:space="preserve">
Estimated from BM = 1.79143*CL^2.3035 Lovich pers. Comm.</t>
        </r>
      </text>
    </comment>
    <comment ref="P2017" authorId="1128" shapeId="0" xr:uid="{00000000-0006-0000-0000-0000F0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18" authorId="11" shapeId="0" xr:uid="{00000000-0006-0000-0000-0000F1080000}">
      <text>
        <r>
          <rPr>
            <b/>
            <sz val="9"/>
            <color indexed="81"/>
            <rFont val="Tahoma"/>
            <family val="2"/>
          </rPr>
          <t>TNACI:</t>
        </r>
        <r>
          <rPr>
            <sz val="9"/>
            <color indexed="81"/>
            <rFont val="Tahoma"/>
            <family val="2"/>
          </rPr>
          <t xml:space="preserve">
Estimated from BM = 1.79143*CL^2.3035 Lovich pers. Comm.</t>
        </r>
      </text>
    </comment>
    <comment ref="P2018" authorId="1129" shapeId="0" xr:uid="{00000000-0006-0000-0000-0000F2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19" authorId="11" shapeId="0" xr:uid="{00000000-0006-0000-0000-0000F3080000}">
      <text>
        <r>
          <rPr>
            <b/>
            <sz val="9"/>
            <color indexed="81"/>
            <rFont val="Tahoma"/>
            <family val="2"/>
          </rPr>
          <t>TNACI:</t>
        </r>
        <r>
          <rPr>
            <sz val="9"/>
            <color indexed="81"/>
            <rFont val="Tahoma"/>
            <family val="2"/>
          </rPr>
          <t xml:space="preserve">
Estimated from BM = 1.79143*CL^2.3035 Lovich pers. Comm.</t>
        </r>
      </text>
    </comment>
    <comment ref="P2019" authorId="1130" shapeId="0" xr:uid="{00000000-0006-0000-0000-0000F4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20" authorId="11" shapeId="0" xr:uid="{00000000-0006-0000-0000-0000F5080000}">
      <text>
        <r>
          <rPr>
            <b/>
            <sz val="9"/>
            <color indexed="81"/>
            <rFont val="Tahoma"/>
            <family val="2"/>
          </rPr>
          <t>TNACI:</t>
        </r>
        <r>
          <rPr>
            <sz val="9"/>
            <color indexed="81"/>
            <rFont val="Tahoma"/>
            <family val="2"/>
          </rPr>
          <t xml:space="preserve">
Estimated from BM = 1.79143*CL^2.3035 Lovich pers. Comm.</t>
        </r>
      </text>
    </comment>
    <comment ref="J2021" authorId="11" shapeId="0" xr:uid="{00000000-0006-0000-0000-0000F6080000}">
      <text>
        <r>
          <rPr>
            <b/>
            <sz val="9"/>
            <color indexed="81"/>
            <rFont val="Tahoma"/>
            <family val="2"/>
          </rPr>
          <t>TNACI:</t>
        </r>
        <r>
          <rPr>
            <sz val="9"/>
            <color indexed="81"/>
            <rFont val="Tahoma"/>
            <family val="2"/>
          </rPr>
          <t xml:space="preserve">
Estimated from BM = 1.79143*CL^2.3035 Lovich pers. Comm.</t>
        </r>
      </text>
    </comment>
    <comment ref="J2022" authorId="11" shapeId="0" xr:uid="{00000000-0006-0000-0000-0000F7080000}">
      <text>
        <r>
          <rPr>
            <b/>
            <sz val="9"/>
            <color indexed="81"/>
            <rFont val="Tahoma"/>
            <family val="2"/>
          </rPr>
          <t>TNACI:</t>
        </r>
        <r>
          <rPr>
            <sz val="9"/>
            <color indexed="81"/>
            <rFont val="Tahoma"/>
            <family val="2"/>
          </rPr>
          <t xml:space="preserve">
Estimated from BM = 1.79143*CL^2.3035 Lovich pers. Comm.</t>
        </r>
      </text>
    </comment>
    <comment ref="J2023" authorId="11" shapeId="0" xr:uid="{00000000-0006-0000-0000-0000F8080000}">
      <text>
        <r>
          <rPr>
            <b/>
            <sz val="9"/>
            <color indexed="81"/>
            <rFont val="Tahoma"/>
            <family val="2"/>
          </rPr>
          <t>TNACI:</t>
        </r>
        <r>
          <rPr>
            <sz val="9"/>
            <color indexed="81"/>
            <rFont val="Tahoma"/>
            <family val="2"/>
          </rPr>
          <t xml:space="preserve">
Estimated from BM = 1.79143*CL^2.3035 Lovich pers. Comm.</t>
        </r>
      </text>
    </comment>
    <comment ref="T2023" authorId="7" shapeId="0" xr:uid="{00000000-0006-0000-0000-0000F9080000}">
      <text>
        <r>
          <rPr>
            <b/>
            <sz val="9"/>
            <color indexed="81"/>
            <rFont val="Tahoma"/>
            <family val="2"/>
          </rPr>
          <t>JEnnen:</t>
        </r>
        <r>
          <rPr>
            <sz val="9"/>
            <color indexed="81"/>
            <rFont val="Tahoma"/>
            <family val="2"/>
          </rPr>
          <t xml:space="preserve">
1-2 reported</t>
        </r>
      </text>
    </comment>
    <comment ref="P2024" authorId="1131" shapeId="0" xr:uid="{00000000-0006-0000-0000-0000FA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25" authorId="11" shapeId="0" xr:uid="{00000000-0006-0000-0000-0000FB080000}">
      <text>
        <r>
          <rPr>
            <b/>
            <sz val="9"/>
            <color indexed="81"/>
            <rFont val="Tahoma"/>
            <family val="2"/>
          </rPr>
          <t>TNACI:</t>
        </r>
        <r>
          <rPr>
            <sz val="9"/>
            <color indexed="81"/>
            <rFont val="Tahoma"/>
            <family val="2"/>
          </rPr>
          <t xml:space="preserve">
Estimated from BM = 1.79143*CL^2.3035 Lovich pers. Comm.</t>
        </r>
      </text>
    </comment>
    <comment ref="J2026" authorId="11" shapeId="0" xr:uid="{00000000-0006-0000-0000-0000FC080000}">
      <text>
        <r>
          <rPr>
            <b/>
            <sz val="9"/>
            <color indexed="81"/>
            <rFont val="Tahoma"/>
            <family val="2"/>
          </rPr>
          <t>TNACI:</t>
        </r>
        <r>
          <rPr>
            <sz val="9"/>
            <color indexed="81"/>
            <rFont val="Tahoma"/>
            <family val="2"/>
          </rPr>
          <t xml:space="preserve">
Estimated from BM = 1.79143*CL^2.3035 Lovich pers. Comm.</t>
        </r>
      </text>
    </comment>
    <comment ref="P2026" authorId="1132" shapeId="0" xr:uid="{00000000-0006-0000-0000-0000FD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27" authorId="10" shapeId="0" xr:uid="{00000000-0006-0000-0000-0000FE080000}">
      <text>
        <r>
          <rPr>
            <b/>
            <sz val="9"/>
            <color indexed="81"/>
            <rFont val="Arial"/>
            <family val="2"/>
          </rPr>
          <t>John Iverson:</t>
        </r>
        <r>
          <rPr>
            <sz val="9"/>
            <color indexed="81"/>
            <rFont val="Arial"/>
            <family val="2"/>
          </rPr>
          <t xml:space="preserve">
estimated from BM-CL data provided by Jeff Lovich for G. agassizii</t>
        </r>
      </text>
    </comment>
    <comment ref="P2028" authorId="1133" shapeId="0" xr:uid="{00000000-0006-0000-0000-0000FF08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P2029" authorId="1134" shapeId="0" xr:uid="{00000000-0006-0000-0000-000000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P2030" authorId="10" shapeId="0" xr:uid="{00000000-0006-0000-0000-000001090000}">
      <text>
        <r>
          <rPr>
            <b/>
            <sz val="9"/>
            <color indexed="81"/>
            <rFont val="Arial"/>
            <family val="2"/>
          </rPr>
          <t>John Iverson:</t>
        </r>
        <r>
          <rPr>
            <sz val="9"/>
            <color indexed="81"/>
            <rFont val="Arial"/>
            <family val="2"/>
          </rPr>
          <t xml:space="preserve">
estimated from our egg data set for Chelonoidis carbonaria</t>
        </r>
      </text>
    </comment>
    <comment ref="P2031" authorId="10" shapeId="0" xr:uid="{00000000-0006-0000-0000-000002090000}">
      <text>
        <r>
          <rPr>
            <b/>
            <sz val="9"/>
            <color indexed="81"/>
            <rFont val="Arial"/>
            <family val="2"/>
          </rPr>
          <t>John Iverson:</t>
        </r>
        <r>
          <rPr>
            <sz val="9"/>
            <color indexed="81"/>
            <rFont val="Arial"/>
            <family val="2"/>
          </rPr>
          <t xml:space="preserve">
estimated from our egg data set for Chelonoidis carbonaria</t>
        </r>
      </text>
    </comment>
    <comment ref="K2032" authorId="1135" shapeId="0" xr:uid="{00000000-0006-0000-0000-000003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15-20 years</t>
        </r>
      </text>
    </comment>
    <comment ref="J2033" authorId="1136" shapeId="0" xr:uid="{00000000-0006-0000-0000-000004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0.000959*CL^2.73 bury and smith 1986</t>
        </r>
      </text>
    </comment>
    <comment ref="J2034" authorId="10" shapeId="0" xr:uid="{00000000-0006-0000-0000-000005090000}">
      <text>
        <r>
          <rPr>
            <b/>
            <sz val="9"/>
            <color indexed="81"/>
            <rFont val="Arial"/>
            <family val="2"/>
          </rPr>
          <t>John Iverson:</t>
        </r>
        <r>
          <rPr>
            <sz val="9"/>
            <color indexed="81"/>
            <rFont val="Arial"/>
            <family val="2"/>
          </rPr>
          <t xml:space="preserve">
estimated from BM-CL data in Bury and Smith (1986)</t>
        </r>
      </text>
    </comment>
    <comment ref="K2034" authorId="1137" shapeId="0" xr:uid="{00000000-0006-0000-0000-00000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3-5 reported</t>
        </r>
      </text>
    </comment>
    <comment ref="J2035" authorId="10" shapeId="0" xr:uid="{00000000-0006-0000-0000-000007090000}">
      <text>
        <r>
          <rPr>
            <b/>
            <sz val="9"/>
            <color indexed="81"/>
            <rFont val="Arial"/>
            <family val="2"/>
          </rPr>
          <t>John Iverson:</t>
        </r>
        <r>
          <rPr>
            <sz val="9"/>
            <color indexed="81"/>
            <rFont val="Arial"/>
            <family val="2"/>
          </rPr>
          <t xml:space="preserve">
estimated from BM-CL data in Bury and Smith 1986</t>
        </r>
      </text>
    </comment>
    <comment ref="P2035" authorId="10" shapeId="0" xr:uid="{00000000-0006-0000-0000-000008090000}">
      <text>
        <r>
          <rPr>
            <b/>
            <sz val="9"/>
            <color indexed="81"/>
            <rFont val="Arial"/>
            <family val="2"/>
          </rPr>
          <t>John Iverson:</t>
        </r>
        <r>
          <rPr>
            <sz val="9"/>
            <color indexed="81"/>
            <rFont val="Arial"/>
            <family val="2"/>
          </rPr>
          <t xml:space="preserve">
estimated from our egg data set for C. carbonaria</t>
        </r>
      </text>
    </comment>
    <comment ref="J2036" authorId="1138" shapeId="0" xr:uid="{00000000-0006-0000-0000-00000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0.000959*CL^2.73 bury and smith 1986</t>
        </r>
      </text>
    </comment>
    <comment ref="P2037" authorId="1139" shapeId="0" xr:uid="{00000000-0006-0000-0000-00000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I2040" authorId="1140" shapeId="0" xr:uid="{00000000-0006-0000-0000-00000B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Gopherus polyphemys from Goin and Goff (Iverson 1984)(Sept 2020)</t>
        </r>
      </text>
    </comment>
    <comment ref="K2040" authorId="7" shapeId="0" xr:uid="{00000000-0006-0000-0000-00000C090000}">
      <text>
        <r>
          <rPr>
            <b/>
            <sz val="9"/>
            <color indexed="81"/>
            <rFont val="Tahoma"/>
            <family val="2"/>
          </rPr>
          <t>JEnnen:</t>
        </r>
        <r>
          <rPr>
            <sz val="9"/>
            <color indexed="81"/>
            <rFont val="Tahoma"/>
            <family val="2"/>
          </rPr>
          <t xml:space="preserve">
16-18 reported</t>
        </r>
      </text>
    </comment>
    <comment ref="J2041" authorId="1141" shapeId="0" xr:uid="{00000000-0006-0000-0000-00000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Gopherus polyphemys from Goin and Goff (Iverson 1984)(Aug 2020)</t>
        </r>
      </text>
    </comment>
    <comment ref="P2041" authorId="1142" shapeId="0" xr:uid="{00000000-0006-0000-0000-00000E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42" authorId="1143" shapeId="0" xr:uid="{00000000-0006-0000-0000-00000F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Gopherus polyphemys from Goin and Goff (Iverson 1984)(Aug 2020)</t>
        </r>
      </text>
    </comment>
    <comment ref="L2043" authorId="7" shapeId="0" xr:uid="{00000000-0006-0000-0000-000010090000}">
      <text>
        <r>
          <rPr>
            <b/>
            <sz val="9"/>
            <color indexed="81"/>
            <rFont val="Tahoma"/>
            <family val="2"/>
          </rPr>
          <t>JEnnen:</t>
        </r>
        <r>
          <rPr>
            <sz val="9"/>
            <color indexed="81"/>
            <rFont val="Tahoma"/>
            <family val="2"/>
          </rPr>
          <t xml:space="preserve">
4-7</t>
        </r>
      </text>
    </comment>
    <comment ref="J2044" authorId="1144" shapeId="0" xr:uid="{00000000-0006-0000-0000-000011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Gopherus polyphemys from Goin and Goff (Iverson 1984)(Aug 2020)</t>
        </r>
      </text>
    </comment>
    <comment ref="J2045" authorId="1145" shapeId="0" xr:uid="{00000000-0006-0000-0000-00001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Gopherus polyphemys from Goin and Goff (Iverson 1984)(Aug 2020)</t>
        </r>
      </text>
    </comment>
    <comment ref="K2045" authorId="7" shapeId="0" xr:uid="{00000000-0006-0000-0000-000013090000}">
      <text>
        <r>
          <rPr>
            <b/>
            <sz val="9"/>
            <color indexed="81"/>
            <rFont val="Tahoma"/>
            <family val="2"/>
          </rPr>
          <t>JEnnen:</t>
        </r>
        <r>
          <rPr>
            <sz val="9"/>
            <color indexed="81"/>
            <rFont val="Tahoma"/>
            <family val="2"/>
          </rPr>
          <t xml:space="preserve">
18-20 reported</t>
        </r>
      </text>
    </comment>
    <comment ref="T2045" authorId="7" shapeId="0" xr:uid="{00000000-0006-0000-0000-000014090000}">
      <text>
        <r>
          <rPr>
            <b/>
            <sz val="9"/>
            <color indexed="81"/>
            <rFont val="Tahoma"/>
            <family val="2"/>
          </rPr>
          <t>JEnnen:</t>
        </r>
        <r>
          <rPr>
            <sz val="9"/>
            <color indexed="81"/>
            <rFont val="Tahoma"/>
            <family val="2"/>
          </rPr>
          <t xml:space="preserve">
1-2 reported</t>
        </r>
      </text>
    </comment>
    <comment ref="K2046" authorId="7" shapeId="0" xr:uid="{00000000-0006-0000-0000-000015090000}">
      <text>
        <r>
          <rPr>
            <b/>
            <sz val="9"/>
            <color indexed="81"/>
            <rFont val="Tahoma"/>
            <family val="2"/>
          </rPr>
          <t>JEnnen:</t>
        </r>
        <r>
          <rPr>
            <sz val="9"/>
            <color indexed="81"/>
            <rFont val="Tahoma"/>
            <family val="2"/>
          </rPr>
          <t xml:space="preserve">
15-20 reported</t>
        </r>
      </text>
    </comment>
    <comment ref="T2046" authorId="7" shapeId="0" xr:uid="{00000000-0006-0000-0000-000016090000}">
      <text>
        <r>
          <rPr>
            <b/>
            <sz val="9"/>
            <color indexed="81"/>
            <rFont val="Tahoma"/>
            <family val="2"/>
          </rPr>
          <t>JEnnen:</t>
        </r>
        <r>
          <rPr>
            <sz val="9"/>
            <color indexed="81"/>
            <rFont val="Tahoma"/>
            <family val="2"/>
          </rPr>
          <t xml:space="preserve">
range 1-2</t>
        </r>
      </text>
    </comment>
    <comment ref="J2047" authorId="11" shapeId="0" xr:uid="{00000000-0006-0000-0000-000017090000}">
      <text>
        <r>
          <rPr>
            <b/>
            <sz val="9"/>
            <color indexed="81"/>
            <rFont val="Tahoma"/>
            <family val="2"/>
          </rPr>
          <t>TNACI:</t>
        </r>
        <r>
          <rPr>
            <sz val="9"/>
            <color indexed="81"/>
            <rFont val="Tahoma"/>
            <family val="2"/>
          </rPr>
          <t xml:space="preserve">
Estimated from BM = 1.79143*CL^2.3035 Lovich pers. Comm.</t>
        </r>
      </text>
    </comment>
    <comment ref="P2047" authorId="1146" shapeId="0" xr:uid="{00000000-0006-0000-0000-00001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49" authorId="11" shapeId="0" xr:uid="{00000000-0006-0000-0000-000019090000}">
      <text>
        <r>
          <rPr>
            <b/>
            <sz val="9"/>
            <color indexed="81"/>
            <rFont val="Tahoma"/>
            <family val="2"/>
          </rPr>
          <t>TNACI:</t>
        </r>
        <r>
          <rPr>
            <sz val="9"/>
            <color indexed="81"/>
            <rFont val="Tahoma"/>
            <family val="2"/>
          </rPr>
          <t xml:space="preserve">
Estimated from BM = 1.79143*CL^2.3035 Lovich pers. Comm.</t>
        </r>
      </text>
    </comment>
    <comment ref="P2049" authorId="1147" shapeId="0" xr:uid="{00000000-0006-0000-0000-00001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50" authorId="11" shapeId="0" xr:uid="{00000000-0006-0000-0000-00001B090000}">
      <text>
        <r>
          <rPr>
            <b/>
            <sz val="9"/>
            <color indexed="81"/>
            <rFont val="Tahoma"/>
            <family val="2"/>
          </rPr>
          <t>TNACI:</t>
        </r>
        <r>
          <rPr>
            <sz val="9"/>
            <color indexed="81"/>
            <rFont val="Tahoma"/>
            <family val="2"/>
          </rPr>
          <t xml:space="preserve">
Estimated from BM = 1.79143*CL^2.3035 Lovich pers. Comm.</t>
        </r>
      </text>
    </comment>
    <comment ref="N2050" authorId="1148" shapeId="0" xr:uid="{00000000-0006-0000-0000-00001C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Chelonoidis carbonaria</t>
        </r>
      </text>
    </comment>
    <comment ref="P2050" authorId="1149" shapeId="0" xr:uid="{00000000-0006-0000-0000-00001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using Chelonoidis carbonaria</t>
        </r>
      </text>
    </comment>
    <comment ref="J2052" authorId="10" shapeId="0" xr:uid="{00000000-0006-0000-0000-00001E090000}">
      <text>
        <r>
          <rPr>
            <b/>
            <sz val="9"/>
            <color indexed="81"/>
            <rFont val="Arial"/>
            <family val="2"/>
          </rPr>
          <t>John Iverson:</t>
        </r>
        <r>
          <rPr>
            <sz val="9"/>
            <color indexed="81"/>
            <rFont val="Arial"/>
            <family val="2"/>
          </rPr>
          <t xml:space="preserve">
estimated from BM-CL data provided by Jeff Lovich for G. agassizii; original paper reported 2100-3100 g.</t>
        </r>
      </text>
    </comment>
    <comment ref="N2052" authorId="10" shapeId="0" xr:uid="{00000000-0006-0000-0000-00001F090000}">
      <text>
        <r>
          <rPr>
            <b/>
            <sz val="9"/>
            <color indexed="81"/>
            <rFont val="Arial"/>
            <family val="2"/>
          </rPr>
          <t>John Iverson:</t>
        </r>
        <r>
          <rPr>
            <sz val="9"/>
            <color indexed="81"/>
            <rFont val="Arial"/>
            <family val="2"/>
          </rPr>
          <t xml:space="preserve">
estimated from our egg data set</t>
        </r>
      </text>
    </comment>
    <comment ref="P2052" authorId="10" shapeId="0" xr:uid="{00000000-0006-0000-0000-000020090000}">
      <text>
        <r>
          <rPr>
            <b/>
            <sz val="9"/>
            <color indexed="81"/>
            <rFont val="Arial"/>
            <family val="2"/>
          </rPr>
          <t>John Iverson:</t>
        </r>
        <r>
          <rPr>
            <sz val="9"/>
            <color indexed="81"/>
            <rFont val="Arial"/>
            <family val="2"/>
          </rPr>
          <t xml:space="preserve">
estimated from our egg data set</t>
        </r>
      </text>
    </comment>
    <comment ref="K2053" authorId="7" shapeId="0" xr:uid="{00000000-0006-0000-0000-000021090000}">
      <text>
        <r>
          <rPr>
            <b/>
            <sz val="9"/>
            <color indexed="81"/>
            <rFont val="Tahoma"/>
            <family val="2"/>
          </rPr>
          <t>JEnnen:</t>
        </r>
        <r>
          <rPr>
            <sz val="9"/>
            <color indexed="81"/>
            <rFont val="Tahoma"/>
            <family val="2"/>
          </rPr>
          <t xml:space="preserve">
18-19 reported</t>
        </r>
      </text>
    </comment>
    <comment ref="G2054" authorId="1150" shapeId="0" xr:uid="{00000000-0006-0000-0000-000022090000}">
      <text>
        <r>
          <rPr>
            <sz val="10"/>
            <color rgb="FF000000"/>
            <rFont val="Arial"/>
            <family val="2"/>
          </rPr>
          <t xml:space="preserve">
Comment:
    estimated ca. 32.17</t>
        </r>
      </text>
    </comment>
    <comment ref="J2054" authorId="11" shapeId="0" xr:uid="{00000000-0006-0000-0000-000023090000}">
      <text>
        <r>
          <rPr>
            <b/>
            <sz val="9"/>
            <color indexed="81"/>
            <rFont val="Tahoma"/>
            <family val="2"/>
          </rPr>
          <t>TNACI:</t>
        </r>
        <r>
          <rPr>
            <sz val="9"/>
            <color indexed="81"/>
            <rFont val="Tahoma"/>
            <family val="2"/>
          </rPr>
          <t xml:space="preserve">
Estimated from BM = 1.79143*CL^2.3035 Lovich pers. Comm.</t>
        </r>
      </text>
    </comment>
    <comment ref="P2054" authorId="10" shapeId="0" xr:uid="{00000000-0006-0000-0000-000024090000}">
      <text>
        <r>
          <rPr>
            <b/>
            <sz val="9"/>
            <color indexed="81"/>
            <rFont val="Arial"/>
            <family val="2"/>
          </rPr>
          <t>John Iverson:</t>
        </r>
        <r>
          <rPr>
            <sz val="9"/>
            <color indexed="81"/>
            <rFont val="Arial"/>
            <family val="2"/>
          </rPr>
          <t xml:space="preserve">
estimated from our egg data set</t>
        </r>
      </text>
    </comment>
    <comment ref="J2055" authorId="1151" shapeId="0" xr:uid="{00000000-0006-0000-0000-00002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56" authorId="1152" shapeId="0" xr:uid="{00000000-0006-0000-0000-00002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57" authorId="1153" shapeId="0" xr:uid="{00000000-0006-0000-0000-000027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N2059" authorId="1154" shapeId="0" xr:uid="{00000000-0006-0000-0000-00002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t>
        </r>
      </text>
    </comment>
    <comment ref="J2061" authorId="1155" shapeId="0" xr:uid="{00000000-0006-0000-0000-00002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I2062" authorId="10" shapeId="0" xr:uid="{00000000-0006-0000-0000-00002A090000}">
      <text>
        <r>
          <rPr>
            <b/>
            <sz val="9"/>
            <color indexed="81"/>
            <rFont val="Arial"/>
            <family val="2"/>
          </rPr>
          <t>John Iverson:</t>
        </r>
        <r>
          <rPr>
            <sz val="9"/>
            <color indexed="81"/>
            <rFont val="Arial"/>
            <family val="2"/>
          </rPr>
          <t xml:space="preserve">
estimated from CS-CL equation in paper</t>
        </r>
      </text>
    </comment>
    <comment ref="J2062" authorId="1156" shapeId="0" xr:uid="{00000000-0006-0000-0000-00002B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K2062" authorId="7" shapeId="0" xr:uid="{00000000-0006-0000-0000-00002C090000}">
      <text>
        <r>
          <rPr>
            <b/>
            <sz val="9"/>
            <color indexed="81"/>
            <rFont val="Tahoma"/>
            <family val="2"/>
          </rPr>
          <t>JEnnen:</t>
        </r>
        <r>
          <rPr>
            <sz val="9"/>
            <color indexed="81"/>
            <rFont val="Tahoma"/>
            <family val="2"/>
          </rPr>
          <t xml:space="preserve">
14-18 reported</t>
        </r>
      </text>
    </comment>
    <comment ref="J2064" authorId="1157" shapeId="0" xr:uid="{00000000-0006-0000-0000-00002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65" authorId="1158" shapeId="0" xr:uid="{00000000-0006-0000-0000-00002E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67" authorId="1159" shapeId="0" xr:uid="{00000000-0006-0000-0000-00002F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68" authorId="1160" shapeId="0" xr:uid="{00000000-0006-0000-0000-000030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N2068" authorId="11" shapeId="0" xr:uid="{00000000-0006-0000-0000-000031090000}">
      <text>
        <r>
          <rPr>
            <b/>
            <sz val="9"/>
            <color indexed="81"/>
            <rFont val="Tahoma"/>
            <family val="2"/>
          </rPr>
          <t>TNACI:</t>
        </r>
        <r>
          <rPr>
            <sz val="9"/>
            <color indexed="81"/>
            <rFont val="Tahoma"/>
            <family val="2"/>
          </rPr>
          <t xml:space="preserve">
estimated from EM = 2.131EL + 0.410EW - 52.309 Iverson unpublished data</t>
        </r>
      </text>
    </comment>
    <comment ref="J2069" authorId="1161" shapeId="0" xr:uid="{00000000-0006-0000-0000-00003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N2069" authorId="11" shapeId="0" xr:uid="{00000000-0006-0000-0000-000033090000}">
      <text>
        <r>
          <rPr>
            <b/>
            <sz val="9"/>
            <color indexed="81"/>
            <rFont val="Tahoma"/>
            <family val="2"/>
          </rPr>
          <t>TNACI:</t>
        </r>
        <r>
          <rPr>
            <sz val="9"/>
            <color indexed="81"/>
            <rFont val="Tahoma"/>
            <family val="2"/>
          </rPr>
          <t xml:space="preserve">
estimated from EM = 2.131EL + 0.410EW - 52.309 Iverson unpublished data</t>
        </r>
      </text>
    </comment>
    <comment ref="P2069" authorId="11" shapeId="0" xr:uid="{00000000-0006-0000-0000-000034090000}">
      <text>
        <r>
          <rPr>
            <b/>
            <sz val="9"/>
            <color indexed="81"/>
            <rFont val="Tahoma"/>
            <family val="2"/>
          </rPr>
          <t>TNACI:</t>
        </r>
        <r>
          <rPr>
            <sz val="9"/>
            <color indexed="81"/>
            <rFont val="Tahoma"/>
            <family val="2"/>
          </rPr>
          <t xml:space="preserve">
estimated from y = 1.9363x - 41.452 from Iverson unpublished</t>
        </r>
      </text>
    </comment>
    <comment ref="N2071" authorId="11" shapeId="0" xr:uid="{00000000-0006-0000-0000-000035090000}">
      <text>
        <r>
          <rPr>
            <b/>
            <sz val="9"/>
            <color indexed="81"/>
            <rFont val="Tahoma"/>
            <family val="2"/>
          </rPr>
          <t>TNACI:</t>
        </r>
        <r>
          <rPr>
            <sz val="9"/>
            <color indexed="81"/>
            <rFont val="Tahoma"/>
            <family val="2"/>
          </rPr>
          <t xml:space="preserve">
estimated from EM = 2.131EL + 0.410EW - 52.309 Iverson unpublished data</t>
        </r>
      </text>
    </comment>
    <comment ref="J2073" authorId="1162" shapeId="0" xr:uid="{00000000-0006-0000-0000-00003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N2073" authorId="11" shapeId="0" xr:uid="{00000000-0006-0000-0000-000037090000}">
      <text>
        <r>
          <rPr>
            <b/>
            <sz val="9"/>
            <color indexed="81"/>
            <rFont val="Tahoma"/>
            <family val="2"/>
          </rPr>
          <t>TNACI:</t>
        </r>
        <r>
          <rPr>
            <sz val="9"/>
            <color indexed="81"/>
            <rFont val="Tahoma"/>
            <family val="2"/>
          </rPr>
          <t xml:space="preserve">
estimated from EM = 2.131EL + 0.410EW - 52.309 Iverson unpublished data</t>
        </r>
      </text>
    </comment>
    <comment ref="O2073" authorId="10" shapeId="0" xr:uid="{00000000-0006-0000-0000-000038090000}">
      <text>
        <r>
          <rPr>
            <b/>
            <sz val="9"/>
            <color indexed="81"/>
            <rFont val="Arial"/>
            <family val="2"/>
          </rPr>
          <t>John Iverson:</t>
        </r>
        <r>
          <rPr>
            <sz val="9"/>
            <color indexed="81"/>
            <rFont val="Arial"/>
            <family val="2"/>
          </rPr>
          <t xml:space="preserve">
Estimated from egg mass data 
estmiated from y = 1.9363x - 41.452 Iverson unpublished data</t>
        </r>
      </text>
    </comment>
    <comment ref="J2074" authorId="1163" shapeId="0" xr:uid="{00000000-0006-0000-0000-00003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N2074" authorId="11" shapeId="0" xr:uid="{00000000-0006-0000-0000-00003A090000}">
      <text>
        <r>
          <rPr>
            <b/>
            <sz val="9"/>
            <color indexed="81"/>
            <rFont val="Tahoma"/>
            <family val="2"/>
          </rPr>
          <t>TNACI:</t>
        </r>
        <r>
          <rPr>
            <sz val="9"/>
            <color indexed="81"/>
            <rFont val="Tahoma"/>
            <family val="2"/>
          </rPr>
          <t xml:space="preserve">
estimated from EM = 2.131EL + 0.410EW - 52.309 Iverson unpublished data</t>
        </r>
      </text>
    </comment>
    <comment ref="O2074" authorId="10" shapeId="0" xr:uid="{00000000-0006-0000-0000-00003B090000}">
      <text>
        <r>
          <rPr>
            <b/>
            <sz val="9"/>
            <color indexed="81"/>
            <rFont val="Arial"/>
            <family val="2"/>
          </rPr>
          <t>John Iverson:</t>
        </r>
        <r>
          <rPr>
            <sz val="9"/>
            <color indexed="81"/>
            <rFont val="Arial"/>
            <family val="2"/>
          </rPr>
          <t xml:space="preserve">
Estimated from egg mass data 
estmiated from y = 1.9363x - 41.452 Iverson unpublished data</t>
        </r>
      </text>
    </comment>
    <comment ref="J2075" authorId="1164" shapeId="0" xr:uid="{00000000-0006-0000-0000-00003C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76" authorId="1165" shapeId="0" xr:uid="{00000000-0006-0000-0000-00003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K2076" authorId="7" shapeId="0" xr:uid="{00000000-0006-0000-0000-00003E090000}">
      <text>
        <r>
          <rPr>
            <b/>
            <sz val="9"/>
            <color indexed="81"/>
            <rFont val="Tahoma"/>
            <family val="2"/>
          </rPr>
          <t>JEnnen:</t>
        </r>
        <r>
          <rPr>
            <sz val="9"/>
            <color indexed="81"/>
            <rFont val="Tahoma"/>
            <family val="2"/>
          </rPr>
          <t xml:space="preserve">
5-8 reported</t>
        </r>
      </text>
    </comment>
    <comment ref="N2076" authorId="11" shapeId="0" xr:uid="{00000000-0006-0000-0000-00003F090000}">
      <text>
        <r>
          <rPr>
            <b/>
            <sz val="9"/>
            <color indexed="81"/>
            <rFont val="Tahoma"/>
            <family val="2"/>
          </rPr>
          <t>TNACI:</t>
        </r>
        <r>
          <rPr>
            <sz val="9"/>
            <color indexed="81"/>
            <rFont val="Tahoma"/>
            <family val="2"/>
          </rPr>
          <t xml:space="preserve">
estimated from EM = 2.131EL + 0.410EW - 52.309 Iverson unpublished data</t>
        </r>
      </text>
    </comment>
    <comment ref="J2077" authorId="1166" shapeId="0" xr:uid="{00000000-0006-0000-0000-000040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K2077" authorId="7" shapeId="0" xr:uid="{00000000-0006-0000-0000-000041090000}">
      <text>
        <r>
          <rPr>
            <b/>
            <sz val="9"/>
            <color indexed="81"/>
            <rFont val="Tahoma"/>
            <family val="2"/>
          </rPr>
          <t>JEnnen:</t>
        </r>
        <r>
          <rPr>
            <sz val="9"/>
            <color indexed="81"/>
            <rFont val="Tahoma"/>
            <family val="2"/>
          </rPr>
          <t xml:space="preserve">
5-8 reported</t>
        </r>
      </text>
    </comment>
    <comment ref="N2077" authorId="11" shapeId="0" xr:uid="{00000000-0006-0000-0000-000042090000}">
      <text>
        <r>
          <rPr>
            <b/>
            <sz val="9"/>
            <color indexed="81"/>
            <rFont val="Tahoma"/>
            <family val="2"/>
          </rPr>
          <t>TNACI:</t>
        </r>
        <r>
          <rPr>
            <sz val="9"/>
            <color indexed="81"/>
            <rFont val="Tahoma"/>
            <family val="2"/>
          </rPr>
          <t xml:space="preserve">
estimated from EM = 2.131EL + 0.410EW - 52.309 Iverson unpublished data</t>
        </r>
      </text>
    </comment>
    <comment ref="J2079" authorId="1167" shapeId="0" xr:uid="{00000000-0006-0000-0000-000043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80" authorId="1168" shapeId="0" xr:uid="{00000000-0006-0000-0000-000044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82" authorId="1169" shapeId="0" xr:uid="{00000000-0006-0000-0000-00004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J2083" authorId="1170" shapeId="0" xr:uid="{00000000-0006-0000-0000-00004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databaser using Goin and Goff (Iverson 1984)</t>
        </r>
      </text>
    </comment>
    <comment ref="P2083" authorId="10" shapeId="0" xr:uid="{00000000-0006-0000-0000-000047090000}">
      <text>
        <r>
          <rPr>
            <b/>
            <sz val="9"/>
            <color indexed="81"/>
            <rFont val="Arial"/>
            <family val="2"/>
          </rPr>
          <t>John Iverson:</t>
        </r>
        <r>
          <rPr>
            <sz val="9"/>
            <color indexed="81"/>
            <rFont val="Arial"/>
            <family val="2"/>
          </rPr>
          <t xml:space="preserve">
estimated from our egg data set</t>
        </r>
      </text>
    </comment>
    <comment ref="P2086" authorId="10" shapeId="0" xr:uid="{00000000-0006-0000-0000-000048090000}">
      <text>
        <r>
          <rPr>
            <b/>
            <sz val="9"/>
            <color indexed="81"/>
            <rFont val="Arial"/>
            <family val="2"/>
          </rPr>
          <t>John Iverson:</t>
        </r>
        <r>
          <rPr>
            <sz val="9"/>
            <color indexed="81"/>
            <rFont val="Arial"/>
            <family val="2"/>
          </rPr>
          <t xml:space="preserve">
estimated from our egg data set for T. hermanni</t>
        </r>
      </text>
    </comment>
    <comment ref="P2087" authorId="10" shapeId="0" xr:uid="{00000000-0006-0000-0000-000049090000}">
      <text>
        <r>
          <rPr>
            <b/>
            <sz val="9"/>
            <color indexed="81"/>
            <rFont val="Arial"/>
            <family val="2"/>
          </rPr>
          <t>John Iverson:</t>
        </r>
        <r>
          <rPr>
            <sz val="9"/>
            <color indexed="81"/>
            <rFont val="Arial"/>
            <family val="2"/>
          </rPr>
          <t xml:space="preserve">
estimated from our egg data set for T. hermanni</t>
        </r>
      </text>
    </comment>
    <comment ref="L2088" authorId="10" shapeId="0" xr:uid="{00000000-0006-0000-0000-00004A090000}">
      <text>
        <r>
          <rPr>
            <b/>
            <sz val="9"/>
            <color indexed="81"/>
            <rFont val="Arial"/>
            <family val="2"/>
          </rPr>
          <t>John Iverson:</t>
        </r>
        <r>
          <rPr>
            <sz val="9"/>
            <color indexed="81"/>
            <rFont val="Arial"/>
            <family val="2"/>
          </rPr>
          <t xml:space="preserve">
1-5</t>
        </r>
      </text>
    </comment>
    <comment ref="P2088" authorId="10" shapeId="0" xr:uid="{00000000-0006-0000-0000-00004B090000}">
      <text>
        <r>
          <rPr>
            <b/>
            <sz val="9"/>
            <color indexed="81"/>
            <rFont val="Arial"/>
            <family val="2"/>
          </rPr>
          <t>John Iverson:</t>
        </r>
        <r>
          <rPr>
            <sz val="9"/>
            <color indexed="81"/>
            <rFont val="Arial"/>
            <family val="2"/>
          </rPr>
          <t xml:space="preserve">
estimated from our egg data set for T. hermanni</t>
        </r>
      </text>
    </comment>
    <comment ref="J2091" authorId="1171" shapeId="0" xr:uid="{00000000-0006-0000-0000-00004C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Chersine angulata from Branch 1984</t>
        </r>
      </text>
    </comment>
    <comment ref="P2091" authorId="10" shapeId="0" xr:uid="{00000000-0006-0000-0000-00004D090000}">
      <text>
        <r>
          <rPr>
            <b/>
            <sz val="9"/>
            <color indexed="81"/>
            <rFont val="Arial"/>
            <family val="2"/>
          </rPr>
          <t>John Iverson:</t>
        </r>
        <r>
          <rPr>
            <sz val="9"/>
            <color indexed="81"/>
            <rFont val="Arial"/>
            <family val="2"/>
          </rPr>
          <t xml:space="preserve">
estimated from egg data in Schleicher 2004 for Chersobius solus.</t>
        </r>
      </text>
    </comment>
    <comment ref="P2092" authorId="10" shapeId="0" xr:uid="{00000000-0006-0000-0000-00004E090000}">
      <text>
        <r>
          <rPr>
            <b/>
            <sz val="9"/>
            <color indexed="81"/>
            <rFont val="Arial"/>
            <family val="2"/>
          </rPr>
          <t>John Iverson:</t>
        </r>
        <r>
          <rPr>
            <sz val="9"/>
            <color indexed="81"/>
            <rFont val="Arial"/>
            <family val="2"/>
          </rPr>
          <t xml:space="preserve">
estimated from our egg data set for T. hermanni</t>
        </r>
      </text>
    </comment>
    <comment ref="P2093" authorId="10" shapeId="0" xr:uid="{00000000-0006-0000-0000-00004F090000}">
      <text>
        <r>
          <rPr>
            <b/>
            <sz val="9"/>
            <color indexed="81"/>
            <rFont val="Arial"/>
            <family val="2"/>
          </rPr>
          <t>John Iverson:</t>
        </r>
        <r>
          <rPr>
            <sz val="9"/>
            <color indexed="81"/>
            <rFont val="Arial"/>
            <family val="2"/>
          </rPr>
          <t xml:space="preserve">
estimated from our egg data set from all Homopus and Chersobius combined</t>
        </r>
      </text>
    </comment>
    <comment ref="J2095" authorId="1172" shapeId="0" xr:uid="{00000000-0006-0000-0000-000050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Chersine angulata from Branch 1984</t>
        </r>
      </text>
    </comment>
    <comment ref="O2095" authorId="10" shapeId="0" xr:uid="{00000000-0006-0000-0000-000051090000}">
      <text>
        <r>
          <rPr>
            <b/>
            <sz val="9"/>
            <color indexed="81"/>
            <rFont val="Arial"/>
            <family val="2"/>
          </rPr>
          <t>John Iverson:</t>
        </r>
        <r>
          <rPr>
            <sz val="9"/>
            <color indexed="81"/>
            <rFont val="Arial"/>
            <family val="2"/>
          </rPr>
          <t xml:space="preserve">
EL from xrays invalid</t>
        </r>
      </text>
    </comment>
    <comment ref="P2095" authorId="10" shapeId="0" xr:uid="{00000000-0006-0000-0000-000052090000}">
      <text>
        <r>
          <rPr>
            <b/>
            <sz val="9"/>
            <color indexed="81"/>
            <rFont val="Arial"/>
            <family val="2"/>
          </rPr>
          <t>John Iverson:</t>
        </r>
        <r>
          <rPr>
            <sz val="9"/>
            <color indexed="81"/>
            <rFont val="Arial"/>
            <family val="2"/>
          </rPr>
          <t xml:space="preserve">
estimated from egg data using Chersobius solus.</t>
        </r>
      </text>
    </comment>
    <comment ref="F2096" authorId="10" shapeId="0" xr:uid="{00000000-0006-0000-0000-000053090000}">
      <text>
        <r>
          <rPr>
            <b/>
            <sz val="9"/>
            <color indexed="81"/>
            <rFont val="Arial"/>
            <family val="2"/>
          </rPr>
          <t>John Iverson:</t>
        </r>
        <r>
          <rPr>
            <sz val="9"/>
            <color indexed="81"/>
            <rFont val="Arial"/>
            <family val="2"/>
          </rPr>
          <t xml:space="preserve">
I can't find this reference</t>
        </r>
      </text>
    </comment>
    <comment ref="W2096" authorId="10" shapeId="0" xr:uid="{00000000-0006-0000-0000-000054090000}">
      <text>
        <r>
          <rPr>
            <b/>
            <sz val="9"/>
            <color indexed="81"/>
            <rFont val="Arial"/>
            <family val="2"/>
          </rPr>
          <t>John Iverson:</t>
        </r>
        <r>
          <rPr>
            <sz val="9"/>
            <color indexed="81"/>
            <rFont val="Arial"/>
            <family val="2"/>
          </rPr>
          <t xml:space="preserve">
Loehr did not publish oin femorlais in 2004 and definitely not in Hereptologica</t>
        </r>
      </text>
    </comment>
    <comment ref="N2097" authorId="1173" shapeId="0" xr:uid="{00000000-0006-0000-0000-00005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29-33 by taking median</t>
        </r>
      </text>
    </comment>
    <comment ref="J2098" authorId="1174" shapeId="0" xr:uid="{00000000-0006-0000-0000-00005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1600-3060 by taking median</t>
        </r>
      </text>
    </comment>
    <comment ref="L2098" authorId="7" shapeId="0" xr:uid="{00000000-0006-0000-0000-000057090000}">
      <text>
        <r>
          <rPr>
            <b/>
            <sz val="9"/>
            <color indexed="81"/>
            <rFont val="Tahoma"/>
            <family val="2"/>
          </rPr>
          <t>JEnnen:</t>
        </r>
        <r>
          <rPr>
            <sz val="9"/>
            <color indexed="81"/>
            <rFont val="Tahoma"/>
            <family val="2"/>
          </rPr>
          <t xml:space="preserve">
2-4
</t>
        </r>
      </text>
    </comment>
    <comment ref="N2098" authorId="1175" shapeId="0" xr:uid="{00000000-0006-0000-0000-00005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41.1-64.3 by taking median</t>
        </r>
      </text>
    </comment>
    <comment ref="O2098" authorId="1176" shapeId="0" xr:uid="{00000000-0006-0000-0000-00005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31.8-40.9 by taking median</t>
        </r>
      </text>
    </comment>
    <comment ref="P2098" authorId="1177" shapeId="0" xr:uid="{00000000-0006-0000-0000-00005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25-51.5 by taking median</t>
        </r>
      </text>
    </comment>
    <comment ref="L2099" authorId="7" shapeId="0" xr:uid="{00000000-0006-0000-0000-00005B090000}">
      <text>
        <r>
          <rPr>
            <b/>
            <sz val="9"/>
            <color indexed="81"/>
            <rFont val="Tahoma"/>
            <family val="2"/>
          </rPr>
          <t>JEnnen:</t>
        </r>
        <r>
          <rPr>
            <sz val="9"/>
            <color indexed="81"/>
            <rFont val="Tahoma"/>
            <family val="2"/>
          </rPr>
          <t xml:space="preserve">
2-4
</t>
        </r>
      </text>
    </comment>
    <comment ref="O2100" authorId="1178" shapeId="0" xr:uid="{00000000-0006-0000-0000-00005C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ca. 5 cm long</t>
        </r>
      </text>
    </comment>
    <comment ref="N2102" authorId="10" shapeId="0" xr:uid="{00000000-0006-0000-0000-00005D090000}">
      <text>
        <r>
          <rPr>
            <b/>
            <sz val="9"/>
            <color indexed="81"/>
            <rFont val="Arial"/>
            <family val="2"/>
          </rPr>
          <t>John Iverson:</t>
        </r>
        <r>
          <rPr>
            <sz val="9"/>
            <color indexed="81"/>
            <rFont val="Arial"/>
            <family val="2"/>
          </rPr>
          <t xml:space="preserve">
53-55</t>
        </r>
      </text>
    </comment>
    <comment ref="O2102" authorId="10" shapeId="0" xr:uid="{00000000-0006-0000-0000-00005E090000}">
      <text>
        <r>
          <rPr>
            <b/>
            <sz val="9"/>
            <color indexed="81"/>
            <rFont val="Arial"/>
            <family val="2"/>
          </rPr>
          <t>John Iverson:</t>
        </r>
        <r>
          <rPr>
            <sz val="9"/>
            <color indexed="81"/>
            <rFont val="Arial"/>
            <family val="2"/>
          </rPr>
          <t xml:space="preserve">
37-39.5</t>
        </r>
      </text>
    </comment>
    <comment ref="P2102" authorId="1179" shapeId="0" xr:uid="{00000000-0006-0000-0000-00005F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Chelonoidis carbonaria</t>
        </r>
      </text>
    </comment>
    <comment ref="L2103" authorId="7" shapeId="0" xr:uid="{00000000-0006-0000-0000-000060090000}">
      <text>
        <r>
          <rPr>
            <b/>
            <sz val="9"/>
            <color indexed="81"/>
            <rFont val="Tahoma"/>
            <family val="2"/>
          </rPr>
          <t>JEnnen:</t>
        </r>
        <r>
          <rPr>
            <sz val="9"/>
            <color indexed="81"/>
            <rFont val="Tahoma"/>
            <family val="2"/>
          </rPr>
          <t xml:space="preserve">
5-9</t>
        </r>
      </text>
    </comment>
    <comment ref="L2105" authorId="7" shapeId="0" xr:uid="{00000000-0006-0000-0000-000061090000}">
      <text>
        <r>
          <rPr>
            <b/>
            <sz val="9"/>
            <color indexed="81"/>
            <rFont val="Tahoma"/>
            <family val="2"/>
          </rPr>
          <t>JEnnen:</t>
        </r>
        <r>
          <rPr>
            <sz val="9"/>
            <color indexed="81"/>
            <rFont val="Tahoma"/>
            <family val="2"/>
          </rPr>
          <t xml:space="preserve">
1-5</t>
        </r>
      </text>
    </comment>
    <comment ref="P2105" authorId="1180" shapeId="0" xr:uid="{00000000-0006-0000-0000-00006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Chelonoidis carbonaria</t>
        </r>
      </text>
    </comment>
    <comment ref="I2106" authorId="1181" shapeId="0" xr:uid="{00000000-0006-0000-0000-000063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PL = 18.7; estiamted CL from equation in Platt et al. (2007, Hamadryad 31:202-211)</t>
        </r>
      </text>
    </comment>
    <comment ref="J2106" authorId="1182" shapeId="0" xr:uid="{00000000-0006-0000-0000-000064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plots for I. elongata</t>
        </r>
      </text>
    </comment>
    <comment ref="L2107" authorId="7" shapeId="0" xr:uid="{00000000-0006-0000-0000-000065090000}">
      <text>
        <r>
          <rPr>
            <b/>
            <sz val="9"/>
            <color indexed="81"/>
            <rFont val="Tahoma"/>
            <family val="2"/>
          </rPr>
          <t>JEnnen:</t>
        </r>
        <r>
          <rPr>
            <sz val="9"/>
            <color indexed="81"/>
            <rFont val="Tahoma"/>
            <family val="2"/>
          </rPr>
          <t xml:space="preserve">
2-4</t>
        </r>
      </text>
    </comment>
    <comment ref="I2108" authorId="1183" shapeId="0" xr:uid="{00000000-0006-0000-0000-00006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plots for I. elongata</t>
        </r>
      </text>
    </comment>
    <comment ref="J2108" authorId="10" shapeId="0" xr:uid="{00000000-0006-0000-0000-000067090000}">
      <text>
        <r>
          <rPr>
            <b/>
            <sz val="9"/>
            <color indexed="81"/>
            <rFont val="Arial"/>
            <family val="2"/>
          </rPr>
          <t>John Iverson:</t>
        </r>
        <r>
          <rPr>
            <sz val="9"/>
            <color indexed="81"/>
            <rFont val="Arial"/>
            <family val="2"/>
          </rPr>
          <t xml:space="preserve">
estimated from Fig. 1 on paper</t>
        </r>
      </text>
    </comment>
    <comment ref="I2109" authorId="1184" shapeId="0" xr:uid="{00000000-0006-0000-0000-00006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Fig 5 in Sriprateep et al. 2013</t>
        </r>
      </text>
    </comment>
    <comment ref="J2109" authorId="1185" shapeId="0" xr:uid="{00000000-0006-0000-0000-00006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 base from this species from Myanmar - Steve Platt data</t>
        </r>
      </text>
    </comment>
    <comment ref="L2111" authorId="7" shapeId="0" xr:uid="{00000000-0006-0000-0000-00006A090000}">
      <text>
        <r>
          <rPr>
            <b/>
            <sz val="9"/>
            <color indexed="81"/>
            <rFont val="Tahoma"/>
            <family val="2"/>
          </rPr>
          <t>JEnnen:</t>
        </r>
        <r>
          <rPr>
            <sz val="9"/>
            <color indexed="81"/>
            <rFont val="Tahoma"/>
            <family val="2"/>
          </rPr>
          <t xml:space="preserve">
2-4</t>
        </r>
      </text>
    </comment>
    <comment ref="L2112" authorId="7" shapeId="0" xr:uid="{00000000-0006-0000-0000-00006B090000}">
      <text>
        <r>
          <rPr>
            <b/>
            <sz val="9"/>
            <color indexed="81"/>
            <rFont val="Tahoma"/>
            <family val="2"/>
          </rPr>
          <t>JEnnen:</t>
        </r>
        <r>
          <rPr>
            <sz val="9"/>
            <color indexed="81"/>
            <rFont val="Tahoma"/>
            <family val="2"/>
          </rPr>
          <t xml:space="preserve">
3-7</t>
        </r>
      </text>
    </comment>
    <comment ref="P2112" authorId="10" shapeId="0" xr:uid="{00000000-0006-0000-0000-00006C090000}">
      <text>
        <r>
          <rPr>
            <b/>
            <sz val="9"/>
            <color indexed="81"/>
            <rFont val="Arial"/>
            <family val="2"/>
          </rPr>
          <t>John Iverson:</t>
        </r>
        <r>
          <rPr>
            <sz val="9"/>
            <color indexed="81"/>
            <rFont val="Arial"/>
            <family val="2"/>
          </rPr>
          <t xml:space="preserve">
estimated from our egg data set for C. carbonaria</t>
        </r>
      </text>
    </comment>
    <comment ref="N2113" authorId="1186" shapeId="0" xr:uid="{00000000-0006-0000-0000-00006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42-50 by taking median</t>
        </r>
      </text>
    </comment>
    <comment ref="O2113" authorId="1187" shapeId="0" xr:uid="{00000000-0006-0000-0000-00006E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38-41 by taking median</t>
        </r>
      </text>
    </comment>
    <comment ref="I2114" authorId="10" shapeId="0" xr:uid="{00000000-0006-0000-0000-00006F090000}">
      <text>
        <r>
          <rPr>
            <b/>
            <sz val="9"/>
            <color indexed="81"/>
            <rFont val="Arial"/>
            <family val="2"/>
          </rPr>
          <t>John Iverson:</t>
        </r>
        <r>
          <rPr>
            <sz val="9"/>
            <color indexed="81"/>
            <rFont val="Arial"/>
            <family val="2"/>
          </rPr>
          <t xml:space="preserve">
N=2</t>
        </r>
      </text>
    </comment>
    <comment ref="R2114" authorId="10" shapeId="0" xr:uid="{00000000-0006-0000-0000-000070090000}">
      <text>
        <r>
          <rPr>
            <b/>
            <sz val="9"/>
            <color indexed="81"/>
            <rFont val="Arial"/>
            <family val="2"/>
          </rPr>
          <t>John Iverson:</t>
        </r>
        <r>
          <rPr>
            <sz val="9"/>
            <color indexed="81"/>
            <rFont val="Arial"/>
            <family val="2"/>
          </rPr>
          <t xml:space="preserve">
N = 9
</t>
        </r>
      </text>
    </comment>
    <comment ref="T2115" authorId="10" shapeId="0" xr:uid="{00000000-0006-0000-0000-000071090000}">
      <text>
        <r>
          <rPr>
            <b/>
            <sz val="9"/>
            <color indexed="81"/>
            <rFont val="Arial"/>
            <family val="2"/>
          </rPr>
          <t>John Iverson:</t>
        </r>
        <r>
          <rPr>
            <sz val="9"/>
            <color indexed="81"/>
            <rFont val="Arial"/>
            <family val="2"/>
          </rPr>
          <t xml:space="preserve">
4-6 n=8</t>
        </r>
      </text>
    </comment>
    <comment ref="P2117" authorId="1188" shapeId="0" xr:uid="{00000000-0006-0000-0000-00007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Das (1991) EM/BM is reported as 0.92. Therefore, EM should be 15.46, which is too low. Therefore we estimated from egg dataset using Centrochelys sulcata</t>
        </r>
      </text>
    </comment>
    <comment ref="P2121" authorId="1189" shapeId="0" xr:uid="{00000000-0006-0000-0000-000073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Centrochelys sulcata</t>
        </r>
      </text>
    </comment>
    <comment ref="J2127" authorId="1190" shapeId="0" xr:uid="{00000000-0006-0000-0000-000074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spent body mass, 3323.6, plus clutch mass"</t>
        </r>
      </text>
    </comment>
    <comment ref="J2128" authorId="1191" shapeId="0" xr:uid="{00000000-0006-0000-0000-00007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Kinixys spekii from Kabigumila 2002</t>
        </r>
      </text>
    </comment>
    <comment ref="J2129" authorId="10" shapeId="0" xr:uid="{00000000-0006-0000-0000-000076090000}">
      <text>
        <r>
          <rPr>
            <b/>
            <sz val="9"/>
            <color indexed="81"/>
            <rFont val="Arial"/>
            <family val="2"/>
          </rPr>
          <t>John Iverson:</t>
        </r>
        <r>
          <rPr>
            <sz val="9"/>
            <color indexed="81"/>
            <rFont val="Arial"/>
            <family val="2"/>
          </rPr>
          <t xml:space="preserve">
estimated from our BM-CL data for K. zombensis females</t>
        </r>
      </text>
    </comment>
    <comment ref="P2129" authorId="10" shapeId="0" xr:uid="{00000000-0006-0000-0000-000077090000}">
      <text>
        <r>
          <rPr>
            <b/>
            <sz val="9"/>
            <color indexed="81"/>
            <rFont val="Arial"/>
            <family val="2"/>
          </rPr>
          <t>John Iverson:</t>
        </r>
        <r>
          <rPr>
            <sz val="9"/>
            <color indexed="81"/>
            <rFont val="Arial"/>
            <family val="2"/>
          </rPr>
          <t xml:space="preserve">
estimated from our egg data set for Pyxis arachnoides</t>
        </r>
      </text>
    </comment>
    <comment ref="I2130" authorId="10" shapeId="0" xr:uid="{00000000-0006-0000-0000-000078090000}">
      <text>
        <r>
          <rPr>
            <b/>
            <sz val="9"/>
            <color indexed="81"/>
            <rFont val="Arial"/>
            <family val="2"/>
          </rPr>
          <t>John Iverson:</t>
        </r>
        <r>
          <rPr>
            <sz val="9"/>
            <color indexed="81"/>
            <rFont val="Arial"/>
            <family val="2"/>
          </rPr>
          <t xml:space="preserve">
Data from #12 female only</t>
        </r>
      </text>
    </comment>
    <comment ref="I2131" authorId="1192" shapeId="0" xr:uid="{00000000-0006-0000-0000-00007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22.8</t>
        </r>
      </text>
    </comment>
    <comment ref="J2131" authorId="1193" shapeId="0" xr:uid="{00000000-0006-0000-0000-00007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Kinixys spekii from Kabigumila 2002</t>
        </r>
      </text>
    </comment>
    <comment ref="G2132" authorId="1194" shapeId="0" xr:uid="{00000000-0006-0000-0000-00007B090000}">
      <text>
        <r>
          <rPr>
            <sz val="10"/>
            <color rgb="FF000000"/>
            <rFont val="Arial"/>
            <family val="2"/>
          </rPr>
          <t xml:space="preserve">
Comment:
    estimated ca. 5.6</t>
        </r>
      </text>
    </comment>
    <comment ref="O2133" authorId="1195" shapeId="0" xr:uid="{00000000-0006-0000-0000-00007C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36-37 by taking median</t>
        </r>
      </text>
    </comment>
    <comment ref="I2135" authorId="1196" shapeId="0" xr:uid="{00000000-0006-0000-0000-00007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Kinixys spekii from Kabigumila 2002</t>
        </r>
      </text>
    </comment>
    <comment ref="L2135" authorId="1197" shapeId="0" xr:uid="{00000000-0006-0000-0000-00007E090000}">
      <text>
        <r>
          <rPr>
            <sz val="10"/>
            <color rgb="FF000000"/>
            <rFont val="Arial"/>
            <family val="2"/>
          </rPr>
          <t xml:space="preserve">
Comment:
    1-10?</t>
        </r>
      </text>
    </comment>
    <comment ref="P2136" authorId="1198" shapeId="0" xr:uid="{00000000-0006-0000-0000-00007F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Geochelone elegans</t>
        </r>
      </text>
    </comment>
    <comment ref="G2137" authorId="1199" shapeId="0" xr:uid="{00000000-0006-0000-0000-000080090000}">
      <text>
        <r>
          <rPr>
            <sz val="10"/>
            <color rgb="FF000000"/>
            <rFont val="Arial"/>
            <family val="2"/>
          </rPr>
          <t xml:space="preserve">
Comment:
    estimated ca. 5.6</t>
        </r>
      </text>
    </comment>
    <comment ref="P2138" authorId="1200" shapeId="0" xr:uid="{00000000-0006-0000-0000-000081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G. elegans (Oct 2020)</t>
        </r>
      </text>
    </comment>
    <comment ref="P2139" authorId="1201" shapeId="0" xr:uid="{00000000-0006-0000-0000-00008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Malacochersus tornieri (Dec 2020)</t>
        </r>
      </text>
    </comment>
    <comment ref="L2140" authorId="7" shapeId="0" xr:uid="{00000000-0006-0000-0000-000083090000}">
      <text>
        <r>
          <rPr>
            <b/>
            <sz val="9"/>
            <color indexed="81"/>
            <rFont val="Tahoma"/>
            <family val="2"/>
          </rPr>
          <t>JEnnen:</t>
        </r>
        <r>
          <rPr>
            <sz val="9"/>
            <color indexed="81"/>
            <rFont val="Tahoma"/>
            <family val="2"/>
          </rPr>
          <t xml:space="preserve">
2-3</t>
        </r>
      </text>
    </comment>
    <comment ref="P2142" authorId="1202" shapeId="0" xr:uid="{00000000-0006-0000-0000-000084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Geochelone elegans</t>
        </r>
      </text>
    </comment>
    <comment ref="J2143" authorId="1203" shapeId="0" xr:uid="{00000000-0006-0000-0000-00008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Kinixys spekii from Kabigumila 2002</t>
        </r>
      </text>
    </comment>
    <comment ref="I2146" authorId="7" shapeId="0" xr:uid="{00000000-0006-0000-0000-000086090000}">
      <text>
        <r>
          <rPr>
            <b/>
            <sz val="9"/>
            <color indexed="81"/>
            <rFont val="Tahoma"/>
            <family val="2"/>
          </rPr>
          <t>JEnnen:</t>
        </r>
        <r>
          <rPr>
            <sz val="9"/>
            <color indexed="81"/>
            <rFont val="Tahoma"/>
            <family val="2"/>
          </rPr>
          <t xml:space="preserve">
extracted from Fig 3. in the publication; n =40</t>
        </r>
      </text>
    </comment>
    <comment ref="J2146" authorId="7" shapeId="0" xr:uid="{00000000-0006-0000-0000-000087090000}">
      <text>
        <r>
          <rPr>
            <b/>
            <sz val="9"/>
            <color indexed="81"/>
            <rFont val="Tahoma"/>
            <family val="2"/>
          </rPr>
          <t>JEnnen:</t>
        </r>
        <r>
          <rPr>
            <sz val="9"/>
            <color indexed="81"/>
            <rFont val="Tahoma"/>
            <family val="2"/>
          </rPr>
          <t xml:space="preserve">
estimated from our BM-CL regression database using female K. zombensis from Kuchling 1986 (Nov 2020)</t>
        </r>
      </text>
    </comment>
    <comment ref="P2147" authorId="10" shapeId="0" xr:uid="{00000000-0006-0000-0000-000088090000}">
      <text>
        <r>
          <rPr>
            <b/>
            <sz val="9"/>
            <color indexed="81"/>
            <rFont val="Arial"/>
            <family val="2"/>
          </rPr>
          <t>John Iverson:</t>
        </r>
        <r>
          <rPr>
            <sz val="9"/>
            <color indexed="81"/>
            <rFont val="Arial"/>
            <family val="2"/>
          </rPr>
          <t xml:space="preserve">
estimated from our egg data set for Malacochersus</t>
        </r>
      </text>
    </comment>
    <comment ref="L2148" authorId="7" shapeId="0" xr:uid="{00000000-0006-0000-0000-000089090000}">
      <text>
        <r>
          <rPr>
            <b/>
            <sz val="9"/>
            <color indexed="81"/>
            <rFont val="Tahoma"/>
            <family val="2"/>
          </rPr>
          <t>JEnnen:</t>
        </r>
        <r>
          <rPr>
            <sz val="9"/>
            <color indexed="81"/>
            <rFont val="Tahoma"/>
            <family val="2"/>
          </rPr>
          <t xml:space="preserve">
2-5</t>
        </r>
      </text>
    </comment>
    <comment ref="P2148" authorId="1204" shapeId="0" xr:uid="{00000000-0006-0000-0000-00008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15-25 by taking median</t>
        </r>
      </text>
    </comment>
    <comment ref="T2148" authorId="7" shapeId="0" xr:uid="{00000000-0006-0000-0000-00008B090000}">
      <text>
        <r>
          <rPr>
            <b/>
            <sz val="9"/>
            <color indexed="81"/>
            <rFont val="Tahoma"/>
            <family val="2"/>
          </rPr>
          <t>JEnnen:</t>
        </r>
        <r>
          <rPr>
            <sz val="9"/>
            <color indexed="81"/>
            <rFont val="Tahoma"/>
            <family val="2"/>
          </rPr>
          <t xml:space="preserve">
1-2 reported</t>
        </r>
      </text>
    </comment>
    <comment ref="D2149" authorId="10" shapeId="0" xr:uid="{00000000-0006-0000-0000-00008C090000}">
      <text>
        <r>
          <rPr>
            <b/>
            <sz val="9"/>
            <color indexed="81"/>
            <rFont val="Arial"/>
            <family val="2"/>
          </rPr>
          <t>John Iverson:</t>
        </r>
        <r>
          <rPr>
            <sz val="9"/>
            <color indexed="81"/>
            <rFont val="Arial"/>
            <family val="2"/>
          </rPr>
          <t xml:space="preserve">
belliana in original paper</t>
        </r>
      </text>
    </comment>
    <comment ref="P2149" authorId="1205" shapeId="0" xr:uid="{00000000-0006-0000-0000-00008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dataset using Geochelone elegans</t>
        </r>
      </text>
    </comment>
    <comment ref="I2150" authorId="1206" shapeId="0" xr:uid="{00000000-0006-0000-0000-00008E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16</t>
        </r>
      </text>
    </comment>
    <comment ref="J2150" authorId="1207" shapeId="0" xr:uid="{00000000-0006-0000-0000-00008F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Kinixys spekii from Kabigumila 2002</t>
        </r>
      </text>
    </comment>
    <comment ref="L2150" authorId="7" shapeId="0" xr:uid="{00000000-0006-0000-0000-000090090000}">
      <text>
        <r>
          <rPr>
            <b/>
            <sz val="9"/>
            <color indexed="81"/>
            <rFont val="Tahoma"/>
            <family val="2"/>
          </rPr>
          <t>JEnnen:</t>
        </r>
        <r>
          <rPr>
            <sz val="9"/>
            <color indexed="81"/>
            <rFont val="Tahoma"/>
            <family val="2"/>
          </rPr>
          <t xml:space="preserve">
2-6</t>
        </r>
      </text>
    </comment>
    <comment ref="N2150" authorId="1208" shapeId="0" xr:uid="{00000000-0006-0000-0000-000091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38-47 by taking median</t>
        </r>
      </text>
    </comment>
    <comment ref="O2150" authorId="1209" shapeId="0" xr:uid="{00000000-0006-0000-0000-00009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'30-34</t>
        </r>
      </text>
    </comment>
    <comment ref="P2150" authorId="1210" shapeId="0" xr:uid="{00000000-0006-0000-0000-000093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20-31 by taking median</t>
        </r>
      </text>
    </comment>
    <comment ref="I2152" authorId="10" shapeId="0" xr:uid="{00000000-0006-0000-0000-000094090000}">
      <text>
        <r>
          <rPr>
            <b/>
            <sz val="9"/>
            <color indexed="81"/>
            <rFont val="Arial"/>
            <family val="2"/>
          </rPr>
          <t>John Iverson:</t>
        </r>
        <r>
          <rPr>
            <sz val="9"/>
            <color indexed="81"/>
            <rFont val="Arial"/>
            <family val="2"/>
          </rPr>
          <t xml:space="preserve">
PL = 16.1; CL estimated from ratio of PL to CL [0.86] from Nolan 2002 Emys.</t>
        </r>
      </text>
    </comment>
    <comment ref="J2152" authorId="10" shapeId="0" xr:uid="{00000000-0006-0000-0000-000095090000}">
      <text>
        <r>
          <rPr>
            <b/>
            <sz val="9"/>
            <color indexed="81"/>
            <rFont val="Arial"/>
            <family val="2"/>
          </rPr>
          <t>John Iverson:</t>
        </r>
        <r>
          <rPr>
            <sz val="9"/>
            <color indexed="81"/>
            <rFont val="Arial"/>
            <family val="2"/>
          </rPr>
          <t xml:space="preserve">
942 = BM minus clutch mass</t>
        </r>
      </text>
    </comment>
    <comment ref="P2153" authorId="1211" shapeId="0" xr:uid="{00000000-0006-0000-0000-00009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egg dataset using Geochelone elegans</t>
        </r>
      </text>
    </comment>
    <comment ref="P2154" authorId="1212" shapeId="0" xr:uid="{00000000-0006-0000-0000-000097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egg dataset using Geochelone elegans</t>
        </r>
      </text>
    </comment>
    <comment ref="I2155" authorId="1213" shapeId="0" xr:uid="{00000000-0006-0000-0000-00009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19-22 by taking median</t>
        </r>
      </text>
    </comment>
    <comment ref="J2155" authorId="1214" shapeId="0" xr:uid="{00000000-0006-0000-0000-00009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BM-CL regression database using Kuchling 1986</t>
        </r>
      </text>
    </comment>
    <comment ref="L2155" authorId="7" shapeId="0" xr:uid="{00000000-0006-0000-0000-00009A090000}">
      <text>
        <r>
          <rPr>
            <b/>
            <sz val="9"/>
            <color indexed="81"/>
            <rFont val="Tahoma"/>
            <family val="2"/>
          </rPr>
          <t>JEnnen:</t>
        </r>
        <r>
          <rPr>
            <sz val="9"/>
            <color indexed="81"/>
            <rFont val="Tahoma"/>
            <family val="2"/>
          </rPr>
          <t xml:space="preserve">
2-7</t>
        </r>
      </text>
    </comment>
    <comment ref="N2155" authorId="1215" shapeId="0" xr:uid="{00000000-0006-0000-0000-00009B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38-48 by taking median</t>
        </r>
      </text>
    </comment>
    <comment ref="O2155" authorId="1216" shapeId="0" xr:uid="{00000000-0006-0000-0000-00009C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32-36 by taking median</t>
        </r>
      </text>
    </comment>
    <comment ref="P2155" authorId="1217" shapeId="0" xr:uid="{00000000-0006-0000-0000-00009D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23-32 by taking median</t>
        </r>
      </text>
    </comment>
    <comment ref="K2157" authorId="7" shapeId="0" xr:uid="{00000000-0006-0000-0000-00009E090000}">
      <text>
        <r>
          <rPr>
            <b/>
            <sz val="9"/>
            <color indexed="81"/>
            <rFont val="Tahoma"/>
            <family val="2"/>
          </rPr>
          <t>JEnnen:</t>
        </r>
        <r>
          <rPr>
            <sz val="9"/>
            <color indexed="81"/>
            <rFont val="Tahoma"/>
            <family val="2"/>
          </rPr>
          <t xml:space="preserve">
8-11 reported</t>
        </r>
      </text>
    </comment>
    <comment ref="L2157" authorId="1218" shapeId="0" xr:uid="{00000000-0006-0000-0000-00009F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2-10 by taking the median</t>
        </r>
      </text>
    </comment>
    <comment ref="G2160" authorId="10" shapeId="0" xr:uid="{00000000-0006-0000-0000-0000A0090000}">
      <text>
        <r>
          <rPr>
            <b/>
            <sz val="9"/>
            <color indexed="81"/>
            <rFont val="Arial"/>
            <family val="2"/>
          </rPr>
          <t>John Iverson:</t>
        </r>
        <r>
          <rPr>
            <sz val="9"/>
            <color indexed="81"/>
            <rFont val="Arial"/>
            <family val="2"/>
          </rPr>
          <t xml:space="preserve">
National Zoological Park</t>
        </r>
      </text>
    </comment>
    <comment ref="T2160" authorId="7" shapeId="0" xr:uid="{00000000-0006-0000-0000-0000A1090000}">
      <text>
        <r>
          <rPr>
            <b/>
            <sz val="9"/>
            <color indexed="81"/>
            <rFont val="Tahoma"/>
            <family val="2"/>
          </rPr>
          <t>JEnnen:</t>
        </r>
        <r>
          <rPr>
            <sz val="9"/>
            <color indexed="81"/>
            <rFont val="Tahoma"/>
            <family val="2"/>
          </rPr>
          <t xml:space="preserve">
1-6 reported</t>
        </r>
      </text>
    </comment>
    <comment ref="G2161" authorId="10" shapeId="0" xr:uid="{00000000-0006-0000-0000-0000A2090000}">
      <text>
        <r>
          <rPr>
            <b/>
            <sz val="9"/>
            <color indexed="81"/>
            <rFont val="Arial"/>
            <family val="2"/>
          </rPr>
          <t>John Iverson:</t>
        </r>
        <r>
          <rPr>
            <sz val="9"/>
            <color indexed="81"/>
            <rFont val="Arial"/>
            <family val="2"/>
          </rPr>
          <t xml:space="preserve">
Darlington personal collection</t>
        </r>
      </text>
    </comment>
    <comment ref="L2161" authorId="10" shapeId="0" xr:uid="{00000000-0006-0000-0000-0000A3090000}">
      <text>
        <r>
          <rPr>
            <b/>
            <sz val="9"/>
            <color indexed="81"/>
            <rFont val="Arial"/>
            <family val="2"/>
          </rPr>
          <t>John Iverson:</t>
        </r>
        <r>
          <rPr>
            <sz val="9"/>
            <color indexed="81"/>
            <rFont val="Arial"/>
            <family val="2"/>
          </rPr>
          <t xml:space="preserve">
rarely two</t>
        </r>
      </text>
    </comment>
    <comment ref="T2161" authorId="7" shapeId="0" xr:uid="{00000000-0006-0000-0000-0000A4090000}">
      <text>
        <r>
          <rPr>
            <b/>
            <sz val="9"/>
            <color indexed="81"/>
            <rFont val="Tahoma"/>
            <family val="2"/>
          </rPr>
          <t>JEnnen:</t>
        </r>
        <r>
          <rPr>
            <sz val="9"/>
            <color indexed="81"/>
            <rFont val="Tahoma"/>
            <family val="2"/>
          </rPr>
          <t xml:space="preserve">
2-4 reported</t>
        </r>
      </text>
    </comment>
    <comment ref="I2162" authorId="1219" shapeId="0" xr:uid="{00000000-0006-0000-0000-0000A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0.000001921CL^3.8314 via Kabigumila (2002)</t>
        </r>
      </text>
    </comment>
    <comment ref="T2162" authorId="7" shapeId="0" xr:uid="{00000000-0006-0000-0000-0000A6090000}">
      <text>
        <r>
          <rPr>
            <b/>
            <sz val="9"/>
            <color indexed="81"/>
            <rFont val="Tahoma"/>
            <family val="2"/>
          </rPr>
          <t>JEnnen:</t>
        </r>
        <r>
          <rPr>
            <sz val="9"/>
            <color indexed="81"/>
            <rFont val="Tahoma"/>
            <family val="2"/>
          </rPr>
          <t xml:space="preserve">
2-3 reported</t>
        </r>
      </text>
    </comment>
    <comment ref="L2167" authorId="7" shapeId="0" xr:uid="{00000000-0006-0000-0000-0000A7090000}">
      <text>
        <r>
          <rPr>
            <b/>
            <sz val="9"/>
            <color indexed="81"/>
            <rFont val="Tahoma"/>
            <family val="2"/>
          </rPr>
          <t>JEnnen:</t>
        </r>
        <r>
          <rPr>
            <sz val="9"/>
            <color indexed="81"/>
            <rFont val="Tahoma"/>
            <family val="2"/>
          </rPr>
          <t xml:space="preserve">
1-2</t>
        </r>
      </text>
    </comment>
    <comment ref="N2167" authorId="1220" shapeId="0" xr:uid="{00000000-0006-0000-0000-0000A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30-50 by taking median</t>
        </r>
      </text>
    </comment>
    <comment ref="O2167" authorId="1221" shapeId="0" xr:uid="{00000000-0006-0000-0000-0000A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16-38 by taking median</t>
        </r>
      </text>
    </comment>
    <comment ref="J2168" authorId="1222" shapeId="0" xr:uid="{00000000-0006-0000-0000-0000A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0.000001921CL^3.8314 via Kabigumila (2002)</t>
        </r>
      </text>
    </comment>
    <comment ref="L2171" authorId="7" shapeId="0" xr:uid="{00000000-0006-0000-0000-0000AB090000}">
      <text>
        <r>
          <rPr>
            <b/>
            <sz val="9"/>
            <color indexed="81"/>
            <rFont val="Tahoma"/>
            <family val="2"/>
          </rPr>
          <t>JEnnen:</t>
        </r>
        <r>
          <rPr>
            <sz val="9"/>
            <color indexed="81"/>
            <rFont val="Tahoma"/>
            <family val="2"/>
          </rPr>
          <t xml:space="preserve">
1-5</t>
        </r>
      </text>
    </comment>
    <comment ref="L2172" authorId="11" shapeId="0" xr:uid="{00000000-0006-0000-0000-0000AC090000}">
      <text>
        <r>
          <rPr>
            <b/>
            <sz val="9"/>
            <color indexed="81"/>
            <rFont val="Tahoma"/>
            <family val="2"/>
          </rPr>
          <t>TNACI:</t>
        </r>
        <r>
          <rPr>
            <sz val="9"/>
            <color indexed="81"/>
            <rFont val="Tahoma"/>
            <family val="2"/>
          </rPr>
          <t xml:space="preserve">
Repro Card has 2-3</t>
        </r>
      </text>
    </comment>
    <comment ref="R2172" authorId="11" shapeId="0" xr:uid="{00000000-0006-0000-0000-0000AD090000}">
      <text>
        <r>
          <rPr>
            <b/>
            <sz val="9"/>
            <color indexed="81"/>
            <rFont val="Tahoma"/>
            <family val="2"/>
          </rPr>
          <t>TNACI:</t>
        </r>
        <r>
          <rPr>
            <sz val="9"/>
            <color indexed="81"/>
            <rFont val="Tahoma"/>
            <family val="2"/>
          </rPr>
          <t xml:space="preserve">
Not on repro card</t>
        </r>
      </text>
    </comment>
    <comment ref="S2172" authorId="11" shapeId="0" xr:uid="{00000000-0006-0000-0000-0000AE090000}">
      <text>
        <r>
          <rPr>
            <b/>
            <sz val="9"/>
            <color indexed="81"/>
            <rFont val="Tahoma"/>
            <family val="2"/>
          </rPr>
          <t>TNACI:</t>
        </r>
        <r>
          <rPr>
            <sz val="9"/>
            <color indexed="81"/>
            <rFont val="Tahoma"/>
            <family val="2"/>
          </rPr>
          <t xml:space="preserve">
Not on repro card</t>
        </r>
      </text>
    </comment>
    <comment ref="T2172" authorId="11" shapeId="0" xr:uid="{00000000-0006-0000-0000-0000AF090000}">
      <text>
        <r>
          <rPr>
            <b/>
            <sz val="9"/>
            <color indexed="81"/>
            <rFont val="Tahoma"/>
            <family val="2"/>
          </rPr>
          <t>TNACI:</t>
        </r>
        <r>
          <rPr>
            <sz val="9"/>
            <color indexed="81"/>
            <rFont val="Tahoma"/>
            <family val="2"/>
          </rPr>
          <t xml:space="preserve">
Not on repro card</t>
        </r>
      </text>
    </comment>
    <comment ref="J2173" authorId="1223" shapeId="0" xr:uid="{00000000-0006-0000-0000-0000B0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Caesar Rahman (unpub. data)</t>
        </r>
      </text>
    </comment>
    <comment ref="I2174" authorId="1224" shapeId="0" xr:uid="{00000000-0006-0000-0000-0000B1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Caesar Rahman (unpub. data)</t>
        </r>
      </text>
    </comment>
    <comment ref="L2174" authorId="1225" shapeId="0" xr:uid="{00000000-0006-0000-0000-0000B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P2174" authorId="1226" shapeId="0" xr:uid="{00000000-0006-0000-0000-0000B3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55-62</t>
        </r>
      </text>
    </comment>
    <comment ref="R2174" authorId="10" shapeId="0" xr:uid="{00000000-0006-0000-0000-0000B4090000}">
      <text>
        <r>
          <rPr>
            <b/>
            <sz val="9"/>
            <color indexed="81"/>
            <rFont val="Arial"/>
            <family val="2"/>
          </rPr>
          <t>John Iverson:</t>
        </r>
        <r>
          <rPr>
            <sz val="9"/>
            <color indexed="81"/>
            <rFont val="Arial"/>
            <family val="2"/>
          </rPr>
          <t xml:space="preserve">
estimated</t>
        </r>
      </text>
    </comment>
    <comment ref="N2175" authorId="10" shapeId="0" xr:uid="{00000000-0006-0000-0000-0000B5090000}">
      <text>
        <r>
          <rPr>
            <b/>
            <sz val="9"/>
            <color indexed="81"/>
            <rFont val="Arial"/>
            <family val="2"/>
          </rPr>
          <t>John Iverson:</t>
        </r>
        <r>
          <rPr>
            <sz val="9"/>
            <color indexed="81"/>
            <rFont val="Arial"/>
            <family val="2"/>
          </rPr>
          <t xml:space="preserve">
"47.6-51.1"</t>
        </r>
      </text>
    </comment>
    <comment ref="O2175" authorId="10" shapeId="0" xr:uid="{00000000-0006-0000-0000-0000B6090000}">
      <text>
        <r>
          <rPr>
            <b/>
            <sz val="9"/>
            <color indexed="81"/>
            <rFont val="Arial"/>
            <family val="2"/>
          </rPr>
          <t>John Iverson:</t>
        </r>
        <r>
          <rPr>
            <sz val="9"/>
            <color indexed="81"/>
            <rFont val="Arial"/>
            <family val="2"/>
          </rPr>
          <t xml:space="preserve">
"45.2-46.9"</t>
        </r>
      </text>
    </comment>
    <comment ref="G2176" authorId="1227" shapeId="0" xr:uid="{00000000-0006-0000-0000-0000B7090000}">
      <text>
        <r>
          <rPr>
            <sz val="10"/>
            <color rgb="FF000000"/>
            <rFont val="Arial"/>
            <family val="2"/>
          </rPr>
          <t xml:space="preserve">
Comment:
    estimated ca 19</t>
        </r>
      </text>
    </comment>
    <comment ref="L2176" authorId="1228" shapeId="0" xr:uid="{00000000-0006-0000-0000-0000B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N = 1</t>
        </r>
      </text>
    </comment>
    <comment ref="L2177" authorId="7" shapeId="0" xr:uid="{00000000-0006-0000-0000-0000B9090000}">
      <text>
        <r>
          <rPr>
            <b/>
            <sz val="9"/>
            <color indexed="81"/>
            <rFont val="Tahoma"/>
            <family val="2"/>
          </rPr>
          <t>JEnnen:</t>
        </r>
        <r>
          <rPr>
            <sz val="9"/>
            <color indexed="81"/>
            <rFont val="Tahoma"/>
            <family val="2"/>
          </rPr>
          <t xml:space="preserve">
5-8 certainly in error</t>
        </r>
      </text>
    </comment>
    <comment ref="P2177" authorId="1229" shapeId="0" xr:uid="{00000000-0006-0000-0000-0000B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our egg database using Centrochelys sulcata (Aug 2020)</t>
        </r>
      </text>
    </comment>
    <comment ref="J2178" authorId="1230" shapeId="0" xr:uid="{00000000-0006-0000-0000-0000BB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Gopherus agassizii from Lovich pers. comm.</t>
        </r>
      </text>
    </comment>
    <comment ref="G2179" authorId="1231" shapeId="0" xr:uid="{00000000-0006-0000-0000-0000BC090000}">
      <text>
        <r>
          <rPr>
            <sz val="10"/>
            <color rgb="FF000000"/>
            <rFont val="Arial"/>
            <family val="2"/>
          </rPr>
          <t xml:space="preserve">
Comment:
    estimated ca. 5</t>
        </r>
      </text>
    </comment>
    <comment ref="L2179" authorId="7" shapeId="0" xr:uid="{00000000-0006-0000-0000-0000BD090000}">
      <text>
        <r>
          <rPr>
            <b/>
            <sz val="9"/>
            <color indexed="81"/>
            <rFont val="Tahoma"/>
            <family val="2"/>
          </rPr>
          <t>JEnnen:</t>
        </r>
        <r>
          <rPr>
            <sz val="9"/>
            <color indexed="81"/>
            <rFont val="Tahoma"/>
            <family val="2"/>
          </rPr>
          <t xml:space="preserve">
17-20</t>
        </r>
      </text>
    </comment>
    <comment ref="J2180" authorId="1232" shapeId="0" xr:uid="{00000000-0006-0000-0000-0000BE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 using Gopherus agassizii from Lovich pers. comm. In the original paper, author reported 3300 for BM, which seems low. The use of the 3300g BM produces an unrealistic RCM value.</t>
        </r>
      </text>
    </comment>
    <comment ref="S2180" authorId="10" shapeId="0" xr:uid="{00000000-0006-0000-0000-0000BF090000}">
      <text>
        <r>
          <rPr>
            <b/>
            <sz val="9"/>
            <color indexed="81"/>
            <rFont val="Arial"/>
            <family val="2"/>
          </rPr>
          <t>John Iverson:</t>
        </r>
        <r>
          <rPr>
            <sz val="9"/>
            <color indexed="81"/>
            <rFont val="Arial"/>
            <family val="2"/>
          </rPr>
          <t xml:space="preserve">
Cannot be this high?</t>
        </r>
      </text>
    </comment>
    <comment ref="J2181" authorId="10" shapeId="0" xr:uid="{00000000-0006-0000-0000-0000C0090000}">
      <text>
        <r>
          <rPr>
            <b/>
            <sz val="9"/>
            <color indexed="81"/>
            <rFont val="Arial"/>
            <family val="2"/>
          </rPr>
          <t>John Iverson:</t>
        </r>
        <r>
          <rPr>
            <sz val="9"/>
            <color indexed="81"/>
            <rFont val="Arial"/>
            <family val="2"/>
          </rPr>
          <t xml:space="preserve">
estimated from BM-CL plot in Baard 1990,page 76</t>
        </r>
      </text>
    </comment>
    <comment ref="K2181" authorId="7" shapeId="0" xr:uid="{00000000-0006-0000-0000-0000C1090000}">
      <text>
        <r>
          <rPr>
            <b/>
            <sz val="9"/>
            <color indexed="81"/>
            <rFont val="Tahoma"/>
            <family val="2"/>
          </rPr>
          <t>JEnnen:</t>
        </r>
        <r>
          <rPr>
            <sz val="9"/>
            <color indexed="81"/>
            <rFont val="Tahoma"/>
            <family val="2"/>
          </rPr>
          <t xml:space="preserve">
5-6 reported</t>
        </r>
      </text>
    </comment>
    <comment ref="N2181" authorId="10" shapeId="0" xr:uid="{00000000-0006-0000-0000-0000C2090000}">
      <text>
        <r>
          <rPr>
            <b/>
            <sz val="9"/>
            <color indexed="81"/>
            <rFont val="Arial"/>
            <family val="2"/>
          </rPr>
          <t>John Iverson:</t>
        </r>
        <r>
          <rPr>
            <sz val="9"/>
            <color indexed="81"/>
            <rFont val="Arial"/>
            <family val="2"/>
          </rPr>
          <t xml:space="preserve">
x-ray EL</t>
        </r>
      </text>
    </comment>
    <comment ref="O2181" authorId="10" shapeId="0" xr:uid="{00000000-0006-0000-0000-0000C3090000}">
      <text>
        <r>
          <rPr>
            <b/>
            <sz val="9"/>
            <color indexed="81"/>
            <rFont val="Arial"/>
            <family val="2"/>
          </rPr>
          <t>John Iverson:</t>
        </r>
        <r>
          <rPr>
            <sz val="9"/>
            <color indexed="81"/>
            <rFont val="Arial"/>
            <family val="2"/>
          </rPr>
          <t xml:space="preserve">
x-ray EW</t>
        </r>
      </text>
    </comment>
    <comment ref="P2181" authorId="10" shapeId="0" xr:uid="{00000000-0006-0000-0000-0000C4090000}">
      <text>
        <r>
          <rPr>
            <b/>
            <sz val="9"/>
            <color indexed="81"/>
            <rFont val="Arial"/>
            <family val="2"/>
          </rPr>
          <t>John Iverson:</t>
        </r>
        <r>
          <rPr>
            <sz val="9"/>
            <color indexed="81"/>
            <rFont val="Arial"/>
            <family val="2"/>
          </rPr>
          <t xml:space="preserve">
estimated from our egg data set for T. hermanni</t>
        </r>
      </text>
    </comment>
    <comment ref="K2182" authorId="1233" shapeId="0" xr:uid="{00000000-0006-0000-0000-0000C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&lt;17</t>
        </r>
      </text>
    </comment>
    <comment ref="P2184" authorId="1234" shapeId="0" xr:uid="{00000000-0006-0000-0000-0000C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for Pyxis arachnoides</t>
        </r>
      </text>
    </comment>
    <comment ref="P2185" authorId="10" shapeId="0" xr:uid="{00000000-0006-0000-0000-0000C7090000}">
      <text>
        <r>
          <rPr>
            <b/>
            <sz val="9"/>
            <color indexed="81"/>
            <rFont val="Arial"/>
            <family val="2"/>
          </rPr>
          <t>John Iverson:</t>
        </r>
        <r>
          <rPr>
            <sz val="9"/>
            <color indexed="81"/>
            <rFont val="Arial"/>
            <family val="2"/>
          </rPr>
          <t xml:space="preserve">
estimated from our egg data set for Pyxis arachnoides</t>
        </r>
      </text>
    </comment>
    <comment ref="P2187" authorId="1235" shapeId="0" xr:uid="{00000000-0006-0000-0000-0000C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 set for Pyxis arachnoides</t>
        </r>
      </text>
    </comment>
    <comment ref="J2189" authorId="1236" shapeId="0" xr:uid="{00000000-0006-0000-0000-0000C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Chersine angulata from Branch 1984</t>
        </r>
      </text>
    </comment>
    <comment ref="L2189" authorId="7" shapeId="0" xr:uid="{00000000-0006-0000-0000-0000CA090000}">
      <text>
        <r>
          <rPr>
            <b/>
            <sz val="9"/>
            <color indexed="81"/>
            <rFont val="Tahoma"/>
            <family val="2"/>
          </rPr>
          <t>JEnnen:</t>
        </r>
        <r>
          <rPr>
            <sz val="9"/>
            <color indexed="81"/>
            <rFont val="Tahoma"/>
            <family val="2"/>
          </rPr>
          <t xml:space="preserve">
1-2</t>
        </r>
      </text>
    </comment>
    <comment ref="P2189" authorId="10" shapeId="0" xr:uid="{00000000-0006-0000-0000-0000CB090000}">
      <text>
        <r>
          <rPr>
            <b/>
            <sz val="9"/>
            <color indexed="81"/>
            <rFont val="Arial"/>
            <family val="2"/>
          </rPr>
          <t>John Iverson:</t>
        </r>
        <r>
          <rPr>
            <sz val="9"/>
            <color indexed="81"/>
            <rFont val="Arial"/>
            <family val="2"/>
          </rPr>
          <t xml:space="preserve">
estimated from our egg data set based on Testudo hermanni</t>
        </r>
      </text>
    </comment>
    <comment ref="P2190" authorId="10" shapeId="0" xr:uid="{00000000-0006-0000-0000-0000CC090000}">
      <text>
        <r>
          <rPr>
            <b/>
            <sz val="9"/>
            <color indexed="81"/>
            <rFont val="Arial"/>
            <family val="2"/>
          </rPr>
          <t>John Iverson:</t>
        </r>
        <r>
          <rPr>
            <sz val="9"/>
            <color indexed="81"/>
            <rFont val="Arial"/>
            <family val="2"/>
          </rPr>
          <t xml:space="preserve">
estimated from our egg data set based on Testudo hermanni</t>
        </r>
      </text>
    </comment>
    <comment ref="G2191" authorId="1237" shapeId="0" xr:uid="{00000000-0006-0000-0000-0000CD090000}">
      <text>
        <r>
          <rPr>
            <sz val="10"/>
            <color rgb="FF000000"/>
            <rFont val="Arial"/>
            <family val="2"/>
          </rPr>
          <t xml:space="preserve">
Comment:
    estimated ca -33</t>
        </r>
      </text>
    </comment>
    <comment ref="J2191" authorId="1238" shapeId="0" xr:uid="{00000000-0006-0000-0000-0000CE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using Chersine angulata from Branch 1984</t>
        </r>
      </text>
    </comment>
    <comment ref="P2191" authorId="10" shapeId="0" xr:uid="{00000000-0006-0000-0000-0000CF090000}">
      <text>
        <r>
          <rPr>
            <b/>
            <sz val="9"/>
            <color indexed="81"/>
            <rFont val="Arial"/>
            <family val="2"/>
          </rPr>
          <t>John Iverson:</t>
        </r>
        <r>
          <rPr>
            <sz val="9"/>
            <color indexed="81"/>
            <rFont val="Arial"/>
            <family val="2"/>
          </rPr>
          <t xml:space="preserve">
estimated from our egg data set based on Testudo hermanni</t>
        </r>
      </text>
    </comment>
    <comment ref="G2192" authorId="1239" shapeId="0" xr:uid="{00000000-0006-0000-0000-0000D0090000}">
      <text>
        <r>
          <rPr>
            <sz val="10"/>
            <color rgb="FF000000"/>
            <rFont val="Arial"/>
            <family val="2"/>
          </rPr>
          <t xml:space="preserve">
Comment:
    estimated ca -33</t>
        </r>
      </text>
    </comment>
    <comment ref="P2192" authorId="10" shapeId="0" xr:uid="{00000000-0006-0000-0000-0000D1090000}">
      <text>
        <r>
          <rPr>
            <b/>
            <sz val="9"/>
            <color indexed="81"/>
            <rFont val="Arial"/>
            <family val="2"/>
          </rPr>
          <t>John Iverson:</t>
        </r>
        <r>
          <rPr>
            <sz val="9"/>
            <color indexed="81"/>
            <rFont val="Arial"/>
            <family val="2"/>
          </rPr>
          <t xml:space="preserve">
estimated from our egg data set based on Testudo hermanni</t>
        </r>
      </text>
    </comment>
    <comment ref="L2193" authorId="7" shapeId="0" xr:uid="{00000000-0006-0000-0000-0000D2090000}">
      <text>
        <r>
          <rPr>
            <b/>
            <sz val="9"/>
            <color indexed="81"/>
            <rFont val="Tahoma"/>
            <family val="2"/>
          </rPr>
          <t>JEnnen:</t>
        </r>
        <r>
          <rPr>
            <sz val="9"/>
            <color indexed="81"/>
            <rFont val="Tahoma"/>
            <family val="2"/>
          </rPr>
          <t xml:space="preserve">
2-3</t>
        </r>
      </text>
    </comment>
    <comment ref="P2193" authorId="10" shapeId="0" xr:uid="{00000000-0006-0000-0000-0000D3090000}">
      <text>
        <r>
          <rPr>
            <b/>
            <sz val="9"/>
            <color indexed="81"/>
            <rFont val="Arial"/>
            <family val="2"/>
          </rPr>
          <t>John Iverson:</t>
        </r>
        <r>
          <rPr>
            <sz val="9"/>
            <color indexed="81"/>
            <rFont val="Arial"/>
            <family val="2"/>
          </rPr>
          <t xml:space="preserve">
estiated from our egg data set for Testudo hermanni</t>
        </r>
      </text>
    </comment>
    <comment ref="O2195" authorId="10" shapeId="0" xr:uid="{00000000-0006-0000-0000-0000D4090000}">
      <text>
        <r>
          <rPr>
            <b/>
            <sz val="9"/>
            <color indexed="81"/>
            <rFont val="Arial"/>
            <family val="2"/>
          </rPr>
          <t>John Iverson:</t>
        </r>
        <r>
          <rPr>
            <sz val="9"/>
            <color indexed="81"/>
            <rFont val="Arial"/>
            <family val="2"/>
          </rPr>
          <t xml:space="preserve">
round!</t>
        </r>
      </text>
    </comment>
    <comment ref="P2196" authorId="1240" shapeId="0" xr:uid="{00000000-0006-0000-0000-0000D5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0.537EL + 1.309EW - 40.389 Iverson unpublished data</t>
        </r>
      </text>
    </comment>
    <comment ref="P2197" authorId="1241" shapeId="0" xr:uid="{00000000-0006-0000-0000-0000D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0.537EL + 1.309EW - 40.389 Iverson unpublished data</t>
        </r>
      </text>
    </comment>
    <comment ref="P2198" authorId="1242" shapeId="0" xr:uid="{00000000-0006-0000-0000-0000D7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EM = 0.537EL + 1.309EW - 40.389 Iverson unpublished data</t>
        </r>
      </text>
    </comment>
    <comment ref="N2199" authorId="1243" shapeId="0" xr:uid="{00000000-0006-0000-0000-0000D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33-35 by taking median</t>
        </r>
      </text>
    </comment>
    <comment ref="O2199" authorId="1244" shapeId="0" xr:uid="{00000000-0006-0000-0000-0000D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25-30 by taking median</t>
        </r>
      </text>
    </comment>
    <comment ref="K2200" authorId="7" shapeId="0" xr:uid="{00000000-0006-0000-0000-0000DA090000}">
      <text>
        <r>
          <rPr>
            <b/>
            <sz val="9"/>
            <color indexed="81"/>
            <rFont val="Tahoma"/>
            <family val="2"/>
          </rPr>
          <t>JEnnen:</t>
        </r>
        <r>
          <rPr>
            <sz val="9"/>
            <color indexed="81"/>
            <rFont val="Tahoma"/>
            <family val="2"/>
          </rPr>
          <t xml:space="preserve">
8-11 reported</t>
        </r>
      </text>
    </comment>
    <comment ref="K2201" authorId="7" shapeId="0" xr:uid="{00000000-0006-0000-0000-0000DB090000}">
      <text>
        <r>
          <rPr>
            <b/>
            <sz val="9"/>
            <color indexed="81"/>
            <rFont val="Tahoma"/>
            <family val="2"/>
          </rPr>
          <t>JEnnen:</t>
        </r>
        <r>
          <rPr>
            <sz val="9"/>
            <color indexed="81"/>
            <rFont val="Tahoma"/>
            <family val="2"/>
          </rPr>
          <t xml:space="preserve">
9-13 reported
</t>
        </r>
      </text>
    </comment>
    <comment ref="T2201" authorId="7" shapeId="0" xr:uid="{00000000-0006-0000-0000-0000DC090000}">
      <text>
        <r>
          <rPr>
            <b/>
            <sz val="9"/>
            <color indexed="81"/>
            <rFont val="Tahoma"/>
            <family val="2"/>
          </rPr>
          <t>JEnnen:</t>
        </r>
        <r>
          <rPr>
            <sz val="9"/>
            <color indexed="81"/>
            <rFont val="Tahoma"/>
            <family val="2"/>
          </rPr>
          <t xml:space="preserve">
1-3 reported</t>
        </r>
      </text>
    </comment>
    <comment ref="I2204" authorId="10" shapeId="0" xr:uid="{00000000-0006-0000-0000-0000DD090000}">
      <text>
        <r>
          <rPr>
            <b/>
            <sz val="9"/>
            <color indexed="81"/>
            <rFont val="Arial"/>
            <family val="2"/>
          </rPr>
          <t>John Iverson:</t>
        </r>
        <r>
          <rPr>
            <sz val="9"/>
            <color indexed="81"/>
            <rFont val="Arial"/>
            <family val="2"/>
          </rPr>
          <t xml:space="preserve">
estimated from Fig. 2</t>
        </r>
      </text>
    </comment>
    <comment ref="J2204" authorId="10" shapeId="0" xr:uid="{00000000-0006-0000-0000-0000DE090000}">
      <text>
        <r>
          <rPr>
            <b/>
            <sz val="9"/>
            <color indexed="81"/>
            <rFont val="Arial"/>
            <family val="2"/>
          </rPr>
          <t>John Iverson:</t>
        </r>
        <r>
          <rPr>
            <sz val="9"/>
            <color indexed="81"/>
            <rFont val="Arial"/>
            <family val="2"/>
          </rPr>
          <t xml:space="preserve">
estimated from Fig. 3</t>
        </r>
      </text>
    </comment>
    <comment ref="P2205" authorId="11" shapeId="0" xr:uid="{00000000-0006-0000-0000-0000DF090000}">
      <text>
        <r>
          <rPr>
            <b/>
            <sz val="9"/>
            <color indexed="81"/>
            <rFont val="Tahoma"/>
            <family val="2"/>
          </rPr>
          <t>TNACI:</t>
        </r>
        <r>
          <rPr>
            <sz val="9"/>
            <color indexed="81"/>
            <rFont val="Tahoma"/>
            <family val="2"/>
          </rPr>
          <t xml:space="preserve">
estiamted from EM = 0.231EL + 1.131EW - 22.671 Iverson unpublished data</t>
        </r>
      </text>
    </comment>
    <comment ref="I2206" authorId="1245" shapeId="0" xr:uid="{00000000-0006-0000-0000-0000E0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13-15 by taking the median</t>
        </r>
      </text>
    </comment>
    <comment ref="T2207" authorId="7" shapeId="0" xr:uid="{00000000-0006-0000-0000-0000E1090000}">
      <text>
        <r>
          <rPr>
            <b/>
            <sz val="9"/>
            <color indexed="81"/>
            <rFont val="Tahoma"/>
            <family val="2"/>
          </rPr>
          <t>JEnnen:</t>
        </r>
        <r>
          <rPr>
            <sz val="9"/>
            <color indexed="81"/>
            <rFont val="Tahoma"/>
            <family val="2"/>
          </rPr>
          <t xml:space="preserve">
2-3 reported</t>
        </r>
      </text>
    </comment>
    <comment ref="K2208" authorId="7" shapeId="0" xr:uid="{00000000-0006-0000-0000-0000E2090000}">
      <text>
        <r>
          <rPr>
            <b/>
            <sz val="9"/>
            <color indexed="81"/>
            <rFont val="Tahoma"/>
            <family val="2"/>
          </rPr>
          <t>JEnnen:</t>
        </r>
        <r>
          <rPr>
            <sz val="9"/>
            <color indexed="81"/>
            <rFont val="Tahoma"/>
            <family val="2"/>
          </rPr>
          <t xml:space="preserve">
8-12 reported</t>
        </r>
      </text>
    </comment>
    <comment ref="O2208" authorId="11" shapeId="0" xr:uid="{00000000-0006-0000-0000-0000E3090000}">
      <text>
        <r>
          <rPr>
            <b/>
            <sz val="9"/>
            <color indexed="81"/>
            <rFont val="Tahoma"/>
            <family val="2"/>
          </rPr>
          <t>TNACI:</t>
        </r>
        <r>
          <rPr>
            <sz val="9"/>
            <color indexed="81"/>
            <rFont val="Tahoma"/>
            <family val="2"/>
          </rPr>
          <t xml:space="preserve">
estimated from y = 1.2353x - 17.32 Iverson unpubished data</t>
        </r>
      </text>
    </comment>
    <comment ref="K2209" authorId="7" shapeId="0" xr:uid="{00000000-0006-0000-0000-0000E4090000}">
      <text>
        <r>
          <rPr>
            <b/>
            <sz val="9"/>
            <color indexed="81"/>
            <rFont val="Tahoma"/>
            <family val="2"/>
          </rPr>
          <t>JEnnen:</t>
        </r>
        <r>
          <rPr>
            <sz val="9"/>
            <color indexed="81"/>
            <rFont val="Tahoma"/>
            <family val="2"/>
          </rPr>
          <t xml:space="preserve">
9-13 reported</t>
        </r>
      </text>
    </comment>
    <comment ref="T2209" authorId="7" shapeId="0" xr:uid="{00000000-0006-0000-0000-0000E5090000}">
      <text>
        <r>
          <rPr>
            <b/>
            <sz val="9"/>
            <color indexed="81"/>
            <rFont val="Tahoma"/>
            <family val="2"/>
          </rPr>
          <t>JEnnen:</t>
        </r>
        <r>
          <rPr>
            <sz val="9"/>
            <color indexed="81"/>
            <rFont val="Tahoma"/>
            <family val="2"/>
          </rPr>
          <t xml:space="preserve">
1-3 reported</t>
        </r>
      </text>
    </comment>
    <comment ref="T2210" authorId="7" shapeId="0" xr:uid="{00000000-0006-0000-0000-0000E6090000}">
      <text>
        <r>
          <rPr>
            <b/>
            <sz val="9"/>
            <color indexed="81"/>
            <rFont val="Tahoma"/>
            <family val="2"/>
          </rPr>
          <t>JEnnen:</t>
        </r>
        <r>
          <rPr>
            <sz val="9"/>
            <color indexed="81"/>
            <rFont val="Tahoma"/>
            <family val="2"/>
          </rPr>
          <t xml:space="preserve">
1-3 reported</t>
        </r>
      </text>
    </comment>
    <comment ref="T2211" authorId="7" shapeId="0" xr:uid="{00000000-0006-0000-0000-0000E7090000}">
      <text>
        <r>
          <rPr>
            <b/>
            <sz val="9"/>
            <color indexed="81"/>
            <rFont val="Tahoma"/>
            <family val="2"/>
          </rPr>
          <t>JEnnen:</t>
        </r>
        <r>
          <rPr>
            <sz val="9"/>
            <color indexed="81"/>
            <rFont val="Tahoma"/>
            <family val="2"/>
          </rPr>
          <t xml:space="preserve">
1-3 reported</t>
        </r>
      </text>
    </comment>
    <comment ref="L2213" authorId="1246" shapeId="0" xr:uid="{00000000-0006-0000-0000-0000E8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6-10 by taking the median</t>
        </r>
      </text>
    </comment>
    <comment ref="N2213" authorId="1247" shapeId="0" xr:uid="{00000000-0006-0000-0000-0000E9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42-43 by taking median</t>
        </r>
      </text>
    </comment>
    <comment ref="P2213" authorId="1248" shapeId="0" xr:uid="{00000000-0006-0000-0000-0000E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45</t>
        </r>
      </text>
    </comment>
    <comment ref="F2214" authorId="1249" shapeId="0" xr:uid="{00000000-0006-0000-0000-0000EB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S. Africa</t>
        </r>
      </text>
    </comment>
    <comment ref="O2214" authorId="1250" shapeId="0" xr:uid="{00000000-0006-0000-0000-0000EC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y = 1.6397x - 22.805 Iverson unpublished data</t>
        </r>
      </text>
    </comment>
    <comment ref="T2215" authorId="7" shapeId="0" xr:uid="{00000000-0006-0000-0000-0000ED090000}">
      <text>
        <r>
          <rPr>
            <b/>
            <sz val="9"/>
            <color indexed="81"/>
            <rFont val="Tahoma"/>
            <family val="2"/>
          </rPr>
          <t>JEnnen:</t>
        </r>
        <r>
          <rPr>
            <sz val="9"/>
            <color indexed="81"/>
            <rFont val="Tahoma"/>
            <family val="2"/>
          </rPr>
          <t xml:space="preserve">
2-3 reported</t>
        </r>
      </text>
    </comment>
    <comment ref="I2216" authorId="1251" shapeId="0" xr:uid="{00000000-0006-0000-0000-0000EE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BM-CL regression database using Mill 2015</t>
        </r>
      </text>
    </comment>
    <comment ref="J2216" authorId="1252" shapeId="0" xr:uid="{00000000-0006-0000-0000-0000EF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authors report BM of 1.82kg (1820g) which cannot be correct.</t>
        </r>
      </text>
    </comment>
    <comment ref="P2216" authorId="1253" shapeId="0" xr:uid="{00000000-0006-0000-0000-0000F0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using pardalis (Oct 2020)</t>
        </r>
      </text>
    </comment>
    <comment ref="T2216" authorId="7" shapeId="0" xr:uid="{00000000-0006-0000-0000-0000F1090000}">
      <text>
        <r>
          <rPr>
            <b/>
            <sz val="9"/>
            <color indexed="81"/>
            <rFont val="Tahoma"/>
            <family val="2"/>
          </rPr>
          <t>JEnnen:</t>
        </r>
        <r>
          <rPr>
            <sz val="9"/>
            <color indexed="81"/>
            <rFont val="Tahoma"/>
            <family val="2"/>
          </rPr>
          <t xml:space="preserve">
5-7 reported</t>
        </r>
      </text>
    </comment>
    <comment ref="I2217" authorId="1254" shapeId="0" xr:uid="{00000000-0006-0000-0000-0000F2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BM-CL regression database using Mill 2015</t>
        </r>
      </text>
    </comment>
    <comment ref="P2217" authorId="11" shapeId="0" xr:uid="{00000000-0006-0000-0000-0000F3090000}">
      <text>
        <r>
          <rPr>
            <b/>
            <sz val="9"/>
            <color indexed="81"/>
            <rFont val="Tahoma"/>
            <family val="2"/>
          </rPr>
          <t>TNACI:</t>
        </r>
        <r>
          <rPr>
            <sz val="9"/>
            <color indexed="81"/>
            <rFont val="Tahoma"/>
            <family val="2"/>
          </rPr>
          <t xml:space="preserve">
estimated from EM = 1.058EL +1.039EW - 46.534 Iverson unpublished data</t>
        </r>
      </text>
    </comment>
    <comment ref="P2218" authorId="1255" shapeId="0" xr:uid="{00000000-0006-0000-0000-0000F4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50</t>
        </r>
      </text>
    </comment>
    <comment ref="T2222" authorId="7" shapeId="0" xr:uid="{00000000-0006-0000-0000-0000F5090000}">
      <text>
        <r>
          <rPr>
            <b/>
            <sz val="9"/>
            <color indexed="81"/>
            <rFont val="Tahoma"/>
            <family val="2"/>
          </rPr>
          <t>JEnnen:</t>
        </r>
        <r>
          <rPr>
            <sz val="9"/>
            <color indexed="81"/>
            <rFont val="Tahoma"/>
            <family val="2"/>
          </rPr>
          <t xml:space="preserve">
1-3 reported</t>
        </r>
      </text>
    </comment>
    <comment ref="P2225" authorId="1256" shapeId="0" xr:uid="{00000000-0006-0000-0000-0000F6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t>
        </r>
      </text>
    </comment>
    <comment ref="J2226" authorId="10" shapeId="0" xr:uid="{00000000-0006-0000-0000-0000F7090000}">
      <text>
        <r>
          <rPr>
            <b/>
            <sz val="9"/>
            <color indexed="81"/>
            <rFont val="Arial"/>
            <family val="2"/>
          </rPr>
          <t>John Iverson:</t>
        </r>
        <r>
          <rPr>
            <sz val="9"/>
            <color indexed="81"/>
            <rFont val="Arial"/>
            <family val="2"/>
          </rPr>
          <t xml:space="preserve">
estimated from BM-CL data in Mill 2015</t>
        </r>
      </text>
    </comment>
    <comment ref="P2226" authorId="11" shapeId="0" xr:uid="{00000000-0006-0000-0000-0000F8090000}">
      <text>
        <r>
          <rPr>
            <b/>
            <sz val="9"/>
            <color indexed="81"/>
            <rFont val="Tahoma"/>
            <family val="2"/>
          </rPr>
          <t>TNACI:</t>
        </r>
        <r>
          <rPr>
            <sz val="9"/>
            <color indexed="81"/>
            <rFont val="Tahoma"/>
            <family val="2"/>
          </rPr>
          <t xml:space="preserve">
estimated from EM = 1.058EL +1.039EW - 46.534 Iverson unpublished data</t>
        </r>
      </text>
    </comment>
    <comment ref="I2227" authorId="10" shapeId="0" xr:uid="{00000000-0006-0000-0000-0000F9090000}">
      <text>
        <r>
          <rPr>
            <b/>
            <sz val="9"/>
            <color indexed="81"/>
            <rFont val="Arial"/>
            <family val="2"/>
          </rPr>
          <t>John Iverson:</t>
        </r>
        <r>
          <rPr>
            <sz val="9"/>
            <color indexed="81"/>
            <rFont val="Arial"/>
            <family val="2"/>
          </rPr>
          <t xml:space="preserve">
Data here for Female #15 only</t>
        </r>
      </text>
    </comment>
    <comment ref="N2230" authorId="1257" shapeId="0" xr:uid="{00000000-0006-0000-0000-0000FA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42-48.8 by taking median</t>
        </r>
      </text>
    </comment>
    <comment ref="O2230" authorId="1258" shapeId="0" xr:uid="{00000000-0006-0000-0000-0000FB09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from39.5-45 by taking median</t>
        </r>
      </text>
    </comment>
    <comment ref="P2231" authorId="10" shapeId="0" xr:uid="{00000000-0006-0000-0000-0000FC090000}">
      <text>
        <r>
          <rPr>
            <b/>
            <sz val="9"/>
            <color indexed="81"/>
            <rFont val="Arial"/>
            <family val="2"/>
          </rPr>
          <t>John Iverson:</t>
        </r>
        <r>
          <rPr>
            <sz val="9"/>
            <color indexed="81"/>
            <rFont val="Arial"/>
            <family val="2"/>
          </rPr>
          <t xml:space="preserve">
estimated from our egg data set for Pyxis arachnoides.</t>
        </r>
      </text>
    </comment>
    <comment ref="K2234" authorId="7" shapeId="0" xr:uid="{00000000-0006-0000-0000-0000FD090000}">
      <text>
        <r>
          <rPr>
            <b/>
            <sz val="9"/>
            <color indexed="81"/>
            <rFont val="Tahoma"/>
            <family val="2"/>
          </rPr>
          <t>JEnnen:</t>
        </r>
        <r>
          <rPr>
            <sz val="9"/>
            <color indexed="81"/>
            <rFont val="Tahoma"/>
            <family val="2"/>
          </rPr>
          <t xml:space="preserve">
10-15 reported</t>
        </r>
      </text>
    </comment>
    <comment ref="P2234" authorId="11" shapeId="0" xr:uid="{00000000-0006-0000-0000-0000FE090000}">
      <text>
        <r>
          <rPr>
            <b/>
            <sz val="9"/>
            <color indexed="81"/>
            <rFont val="Tahoma"/>
            <family val="2"/>
          </rPr>
          <t>TNACI:</t>
        </r>
        <r>
          <rPr>
            <sz val="9"/>
            <color indexed="81"/>
            <rFont val="Tahoma"/>
            <family val="2"/>
          </rPr>
          <t xml:space="preserve">
estimated from y = 2.785x - 77.795 Iverson unpublished data</t>
        </r>
      </text>
    </comment>
    <comment ref="I2236" authorId="10" shapeId="0" xr:uid="{00000000-0006-0000-0000-0000FF090000}">
      <text>
        <r>
          <rPr>
            <b/>
            <sz val="9"/>
            <color indexed="81"/>
            <rFont val="Arial"/>
            <family val="2"/>
          </rPr>
          <t>John Iverson:</t>
        </r>
        <r>
          <rPr>
            <sz val="9"/>
            <color indexed="81"/>
            <rFont val="Arial"/>
            <family val="2"/>
          </rPr>
          <t xml:space="preserve">
34 cm CCL curved CL; can we find formula to convert?
Estiamted from BM-CL regression database from Mill 2015</t>
        </r>
      </text>
    </comment>
    <comment ref="J2238" authorId="10" shapeId="0" xr:uid="{00000000-0006-0000-0000-0000000A0000}">
      <text>
        <r>
          <rPr>
            <b/>
            <sz val="9"/>
            <color indexed="81"/>
            <rFont val="Arial"/>
            <family val="2"/>
          </rPr>
          <t>John Iverson:</t>
        </r>
        <r>
          <rPr>
            <sz val="9"/>
            <color indexed="81"/>
            <rFont val="Arial"/>
            <family val="2"/>
          </rPr>
          <t xml:space="preserve">
authors did not specify if BM was gravid or spent</t>
        </r>
      </text>
    </comment>
    <comment ref="I2239" authorId="10" shapeId="0" xr:uid="{00000000-0006-0000-0000-0000010A0000}">
      <text>
        <r>
          <rPr>
            <b/>
            <sz val="9"/>
            <color indexed="81"/>
            <rFont val="Arial"/>
            <family val="2"/>
          </rPr>
          <t>John Iverson:</t>
        </r>
        <r>
          <rPr>
            <sz val="9"/>
            <color indexed="81"/>
            <rFont val="Arial"/>
            <family val="2"/>
          </rPr>
          <t xml:space="preserve">
estimated from Fig. 16 in original paper</t>
        </r>
      </text>
    </comment>
    <comment ref="J2239" authorId="10" shapeId="0" xr:uid="{00000000-0006-0000-0000-0000020A0000}">
      <text>
        <r>
          <rPr>
            <b/>
            <sz val="9"/>
            <color indexed="81"/>
            <rFont val="Arial"/>
            <family val="2"/>
          </rPr>
          <t>John Iverson:</t>
        </r>
        <r>
          <rPr>
            <sz val="9"/>
            <color indexed="81"/>
            <rFont val="Arial"/>
            <family val="2"/>
          </rPr>
          <t xml:space="preserve">
estimated from Fig. 17 in original paper</t>
        </r>
      </text>
    </comment>
    <comment ref="L2243" authorId="7" shapeId="0" xr:uid="{00000000-0006-0000-0000-0000030A0000}">
      <text>
        <r>
          <rPr>
            <b/>
            <sz val="9"/>
            <color indexed="81"/>
            <rFont val="Tahoma"/>
            <family val="2"/>
          </rPr>
          <t>JEnnen:</t>
        </r>
        <r>
          <rPr>
            <sz val="9"/>
            <color indexed="81"/>
            <rFont val="Tahoma"/>
            <family val="2"/>
          </rPr>
          <t xml:space="preserve">
6-11
</t>
        </r>
      </text>
    </comment>
    <comment ref="P2243" authorId="1259" shapeId="0" xr:uid="{00000000-0006-0000-0000-000004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12-21 by taking median</t>
        </r>
      </text>
    </comment>
    <comment ref="T2243" authorId="7" shapeId="0" xr:uid="{00000000-0006-0000-0000-0000050A0000}">
      <text>
        <r>
          <rPr>
            <b/>
            <sz val="9"/>
            <color indexed="81"/>
            <rFont val="Tahoma"/>
            <family val="2"/>
          </rPr>
          <t>JEnnen:</t>
        </r>
        <r>
          <rPr>
            <sz val="9"/>
            <color indexed="81"/>
            <rFont val="Tahoma"/>
            <family val="2"/>
          </rPr>
          <t xml:space="preserve">
2-3 reported</t>
        </r>
      </text>
    </comment>
    <comment ref="I2244" authorId="10" shapeId="0" xr:uid="{00000000-0006-0000-0000-0000060A0000}">
      <text>
        <r>
          <rPr>
            <b/>
            <sz val="9"/>
            <color indexed="81"/>
            <rFont val="Arial"/>
            <family val="2"/>
          </rPr>
          <t>John Iverson:</t>
        </r>
        <r>
          <rPr>
            <sz val="9"/>
            <color indexed="81"/>
            <rFont val="Arial"/>
            <family val="2"/>
          </rPr>
          <t xml:space="preserve">
estimated from BM-CL data in Willemsen and Hailey 2002</t>
        </r>
      </text>
    </comment>
    <comment ref="N2245" authorId="11" shapeId="0" xr:uid="{00000000-0006-0000-0000-0000070A0000}">
      <text>
        <r>
          <rPr>
            <b/>
            <sz val="9"/>
            <color indexed="81"/>
            <rFont val="Tahoma"/>
            <family val="2"/>
          </rPr>
          <t>TNACI:</t>
        </r>
        <r>
          <rPr>
            <sz val="9"/>
            <color indexed="81"/>
            <rFont val="Tahoma"/>
            <family val="2"/>
          </rPr>
          <t xml:space="preserve">
estimated from y = 1.3481x - 29.651 Iverson unpublished data</t>
        </r>
      </text>
    </comment>
    <comment ref="O2245" authorId="11" shapeId="0" xr:uid="{00000000-0006-0000-0000-0000080A0000}">
      <text>
        <r>
          <rPr>
            <b/>
            <sz val="9"/>
            <color indexed="81"/>
            <rFont val="Tahoma"/>
            <family val="2"/>
          </rPr>
          <t>TNACI:</t>
        </r>
        <r>
          <rPr>
            <sz val="9"/>
            <color indexed="81"/>
            <rFont val="Tahoma"/>
            <family val="2"/>
          </rPr>
          <t xml:space="preserve">
estimated from y = 1.9126x - 35.622 Iverson unpublished data</t>
        </r>
      </text>
    </comment>
    <comment ref="K2246" authorId="7" shapeId="0" xr:uid="{00000000-0006-0000-0000-0000090A0000}">
      <text>
        <r>
          <rPr>
            <b/>
            <sz val="9"/>
            <color indexed="81"/>
            <rFont val="Tahoma"/>
            <family val="2"/>
          </rPr>
          <t>JEnnen:</t>
        </r>
        <r>
          <rPr>
            <sz val="9"/>
            <color indexed="81"/>
            <rFont val="Tahoma"/>
            <family val="2"/>
          </rPr>
          <t xml:space="preserve">
6-14 reported</t>
        </r>
      </text>
    </comment>
    <comment ref="K2248" authorId="7" shapeId="0" xr:uid="{00000000-0006-0000-0000-00000A0A0000}">
      <text>
        <r>
          <rPr>
            <b/>
            <sz val="9"/>
            <color indexed="81"/>
            <rFont val="Tahoma"/>
            <family val="2"/>
          </rPr>
          <t>JEnnen:</t>
        </r>
        <r>
          <rPr>
            <sz val="9"/>
            <color indexed="81"/>
            <rFont val="Tahoma"/>
            <family val="2"/>
          </rPr>
          <t xml:space="preserve">
8-11 reported</t>
        </r>
      </text>
    </comment>
    <comment ref="L2251" authorId="1260" shapeId="0" xr:uid="{00000000-0006-0000-0000-00000B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4</t>
        </r>
      </text>
    </comment>
    <comment ref="T2251" authorId="7" shapeId="0" xr:uid="{00000000-0006-0000-0000-00000C0A0000}">
      <text>
        <r>
          <rPr>
            <b/>
            <sz val="9"/>
            <color indexed="81"/>
            <rFont val="Tahoma"/>
            <family val="2"/>
          </rPr>
          <t>JEnnen:</t>
        </r>
        <r>
          <rPr>
            <sz val="9"/>
            <color indexed="81"/>
            <rFont val="Tahoma"/>
            <family val="2"/>
          </rPr>
          <t xml:space="preserve">
1-3 reported</t>
        </r>
      </text>
    </comment>
    <comment ref="T2252" authorId="7" shapeId="0" xr:uid="{00000000-0006-0000-0000-00000D0A0000}">
      <text>
        <r>
          <rPr>
            <b/>
            <sz val="9"/>
            <color indexed="81"/>
            <rFont val="Tahoma"/>
            <family val="2"/>
          </rPr>
          <t>JEnnen:</t>
        </r>
        <r>
          <rPr>
            <sz val="9"/>
            <color indexed="81"/>
            <rFont val="Tahoma"/>
            <family val="2"/>
          </rPr>
          <t xml:space="preserve">
1-2 reported</t>
        </r>
      </text>
    </comment>
    <comment ref="K2253" authorId="7" shapeId="0" xr:uid="{00000000-0006-0000-0000-00000E0A0000}">
      <text>
        <r>
          <rPr>
            <b/>
            <sz val="9"/>
            <color indexed="81"/>
            <rFont val="Tahoma"/>
            <family val="2"/>
          </rPr>
          <t>JEnnen:</t>
        </r>
        <r>
          <rPr>
            <sz val="9"/>
            <color indexed="81"/>
            <rFont val="Tahoma"/>
            <family val="2"/>
          </rPr>
          <t xml:space="preserve">
12-14 reported</t>
        </r>
      </text>
    </comment>
    <comment ref="T2253" authorId="7" shapeId="0" xr:uid="{00000000-0006-0000-0000-00000F0A0000}">
      <text>
        <r>
          <rPr>
            <b/>
            <sz val="9"/>
            <color indexed="81"/>
            <rFont val="Tahoma"/>
            <family val="2"/>
          </rPr>
          <t>JEnnen:</t>
        </r>
        <r>
          <rPr>
            <sz val="9"/>
            <color indexed="81"/>
            <rFont val="Tahoma"/>
            <family val="2"/>
          </rPr>
          <t xml:space="preserve">
1-2 reported</t>
        </r>
      </text>
    </comment>
    <comment ref="T2255" authorId="7" shapeId="0" xr:uid="{00000000-0006-0000-0000-0000100A0000}">
      <text>
        <r>
          <rPr>
            <b/>
            <sz val="9"/>
            <color indexed="81"/>
            <rFont val="Tahoma"/>
            <family val="2"/>
          </rPr>
          <t>JEnnen:</t>
        </r>
        <r>
          <rPr>
            <sz val="9"/>
            <color indexed="81"/>
            <rFont val="Tahoma"/>
            <family val="2"/>
          </rPr>
          <t xml:space="preserve">
2-3 reported</t>
        </r>
      </text>
    </comment>
    <comment ref="P2256" authorId="11" shapeId="0" xr:uid="{00000000-0006-0000-0000-0000110A0000}">
      <text>
        <r>
          <rPr>
            <b/>
            <sz val="9"/>
            <color indexed="81"/>
            <rFont val="Tahoma"/>
            <family val="2"/>
          </rPr>
          <t>TNACI:</t>
        </r>
        <r>
          <rPr>
            <sz val="9"/>
            <color indexed="81"/>
            <rFont val="Tahoma"/>
            <family val="2"/>
          </rPr>
          <t xml:space="preserve">
estimated from EM = 0.661EL + 1.201EW - 38.855 Iverson unpublished data</t>
        </r>
      </text>
    </comment>
    <comment ref="J2258" authorId="1261" shapeId="0" xr:uid="{00000000-0006-0000-0000-000012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0.000257*CL^2.94 from Mediterranean region (Lambert 1982)</t>
        </r>
      </text>
    </comment>
    <comment ref="P2258" authorId="11" shapeId="0" xr:uid="{00000000-0006-0000-0000-0000130A0000}">
      <text>
        <r>
          <rPr>
            <b/>
            <sz val="9"/>
            <color indexed="81"/>
            <rFont val="Tahoma"/>
            <family val="2"/>
          </rPr>
          <t>TNACI:</t>
        </r>
        <r>
          <rPr>
            <sz val="9"/>
            <color indexed="81"/>
            <rFont val="Tahoma"/>
            <family val="2"/>
          </rPr>
          <t xml:space="preserve">
estimated from EM = 0.661EL + 1.201EW - 38.855 Iverson unpublished data</t>
        </r>
      </text>
    </comment>
    <comment ref="J2259" authorId="1262" shapeId="0" xr:uid="{00000000-0006-0000-0000-000014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0.000257*CL^2.94 from Mediterranean region (Lambert 1982)</t>
        </r>
      </text>
    </comment>
    <comment ref="P2259" authorId="11" shapeId="0" xr:uid="{00000000-0006-0000-0000-0000150A0000}">
      <text>
        <r>
          <rPr>
            <b/>
            <sz val="9"/>
            <color indexed="81"/>
            <rFont val="Tahoma"/>
            <family val="2"/>
          </rPr>
          <t>TNACI:</t>
        </r>
        <r>
          <rPr>
            <sz val="9"/>
            <color indexed="81"/>
            <rFont val="Tahoma"/>
            <family val="2"/>
          </rPr>
          <t xml:space="preserve">
estimated from EM = 0.661EL + 1.201EW - 38.855 Iverson unpublished data</t>
        </r>
      </text>
    </comment>
    <comment ref="J2261" authorId="1263" shapeId="0" xr:uid="{00000000-0006-0000-0000-00001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0.000257*CL^2.94 from Mediterranean region (Lambert 1982)</t>
        </r>
      </text>
    </comment>
    <comment ref="P2261" authorId="11" shapeId="0" xr:uid="{00000000-0006-0000-0000-0000170A0000}">
      <text>
        <r>
          <rPr>
            <b/>
            <sz val="9"/>
            <color indexed="81"/>
            <rFont val="Tahoma"/>
            <family val="2"/>
          </rPr>
          <t>TNACI:</t>
        </r>
        <r>
          <rPr>
            <sz val="9"/>
            <color indexed="81"/>
            <rFont val="Tahoma"/>
            <family val="2"/>
          </rPr>
          <t xml:space="preserve">
estimated from EM = 0.661EL + 1.201EW - 38.855 Iverson unpublished data</t>
        </r>
      </text>
    </comment>
    <comment ref="J2262" authorId="1264" shapeId="0" xr:uid="{00000000-0006-0000-0000-00001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0.000257*CL^2.94 from Mediterranean region (Lambert 1982)</t>
        </r>
      </text>
    </comment>
    <comment ref="P2262" authorId="11" shapeId="0" xr:uid="{00000000-0006-0000-0000-0000190A0000}">
      <text>
        <r>
          <rPr>
            <b/>
            <sz val="9"/>
            <color indexed="81"/>
            <rFont val="Tahoma"/>
            <family val="2"/>
          </rPr>
          <t>TNACI:</t>
        </r>
        <r>
          <rPr>
            <sz val="9"/>
            <color indexed="81"/>
            <rFont val="Tahoma"/>
            <family val="2"/>
          </rPr>
          <t xml:space="preserve">
estimated from EM = 0.661EL + 1.201EW - 38.855 Iverson unpublished data</t>
        </r>
      </text>
    </comment>
    <comment ref="P2263" authorId="11" shapeId="0" xr:uid="{00000000-0006-0000-0000-00001A0A0000}">
      <text>
        <r>
          <rPr>
            <b/>
            <sz val="9"/>
            <color indexed="81"/>
            <rFont val="Tahoma"/>
            <family val="2"/>
          </rPr>
          <t>TNACI:</t>
        </r>
        <r>
          <rPr>
            <sz val="9"/>
            <color indexed="81"/>
            <rFont val="Tahoma"/>
            <family val="2"/>
          </rPr>
          <t xml:space="preserve">
estimated from EM = 0.661EL + 1.201EW - 38.855 Iverson unpublished data</t>
        </r>
      </text>
    </comment>
    <comment ref="P2264" authorId="11" shapeId="0" xr:uid="{00000000-0006-0000-0000-00001B0A0000}">
      <text>
        <r>
          <rPr>
            <b/>
            <sz val="9"/>
            <color indexed="81"/>
            <rFont val="Tahoma"/>
            <family val="2"/>
          </rPr>
          <t>TNACI:</t>
        </r>
        <r>
          <rPr>
            <sz val="9"/>
            <color indexed="81"/>
            <rFont val="Tahoma"/>
            <family val="2"/>
          </rPr>
          <t xml:space="preserve">
estimated from EM = 0.661EL + 1.201EW - 38.855 Iverson unpublished data</t>
        </r>
      </text>
    </comment>
    <comment ref="J2265" authorId="1265" shapeId="0" xr:uid="{00000000-0006-0000-0000-00001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0.000257*CL^2.94 from Mediterranean region (Lambert 1982)</t>
        </r>
      </text>
    </comment>
    <comment ref="P2265" authorId="11" shapeId="0" xr:uid="{00000000-0006-0000-0000-00001D0A0000}">
      <text>
        <r>
          <rPr>
            <b/>
            <sz val="9"/>
            <color indexed="81"/>
            <rFont val="Tahoma"/>
            <family val="2"/>
          </rPr>
          <t>TNACI:</t>
        </r>
        <r>
          <rPr>
            <sz val="9"/>
            <color indexed="81"/>
            <rFont val="Tahoma"/>
            <family val="2"/>
          </rPr>
          <t xml:space="preserve">
estimated from EM = 0.661EL + 1.201EW - 38.855 Iverson unpublished data</t>
        </r>
      </text>
    </comment>
    <comment ref="K2266" authorId="1266" shapeId="0" xr:uid="{00000000-0006-0000-0000-00001E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9-11 years reported</t>
        </r>
      </text>
    </comment>
    <comment ref="J2268" authorId="1267" shapeId="0" xr:uid="{00000000-0006-0000-0000-00001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0.000649*CL^2.774 in Turkozan et al. 2019 (pers.comm.)</t>
        </r>
      </text>
    </comment>
    <comment ref="P2268" authorId="1268" shapeId="0" xr:uid="{00000000-0006-0000-0000-000020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(Sept 2020)</t>
        </r>
      </text>
    </comment>
    <comment ref="I2270" authorId="10" shapeId="0" xr:uid="{00000000-0006-0000-0000-0000210A0000}">
      <text>
        <r>
          <rPr>
            <b/>
            <sz val="9"/>
            <color indexed="81"/>
            <rFont val="Arial"/>
            <family val="2"/>
          </rPr>
          <t>John Iverson:</t>
        </r>
        <r>
          <rPr>
            <sz val="9"/>
            <color indexed="81"/>
            <rFont val="Arial"/>
            <family val="2"/>
          </rPr>
          <t xml:space="preserve">
PL = 13.53; CL estimated from PL-CL equations in Meek 1985 British J. Herpetology</t>
        </r>
      </text>
    </comment>
    <comment ref="N2270" authorId="10" shapeId="0" xr:uid="{00000000-0006-0000-0000-0000220A0000}">
      <text>
        <r>
          <rPr>
            <b/>
            <sz val="9"/>
            <color indexed="81"/>
            <rFont val="Arial"/>
            <family val="2"/>
          </rPr>
          <t>John Iverson:</t>
        </r>
        <r>
          <rPr>
            <sz val="9"/>
            <color indexed="81"/>
            <rFont val="Arial"/>
            <family val="2"/>
          </rPr>
          <t xml:space="preserve">
estimated from our egg data set</t>
        </r>
      </text>
    </comment>
    <comment ref="P2270" authorId="10" shapeId="0" xr:uid="{00000000-0006-0000-0000-0000230A0000}">
      <text>
        <r>
          <rPr>
            <b/>
            <sz val="9"/>
            <color indexed="81"/>
            <rFont val="Arial"/>
            <family val="2"/>
          </rPr>
          <t>John Iverson:</t>
        </r>
        <r>
          <rPr>
            <sz val="9"/>
            <color indexed="81"/>
            <rFont val="Arial"/>
            <family val="2"/>
          </rPr>
          <t xml:space="preserve">
estimated from our egg data set</t>
        </r>
      </text>
    </comment>
    <comment ref="I2271" authorId="10" shapeId="0" xr:uid="{00000000-0006-0000-0000-0000240A0000}">
      <text>
        <r>
          <rPr>
            <b/>
            <sz val="9"/>
            <color indexed="81"/>
            <rFont val="Arial"/>
            <family val="2"/>
          </rPr>
          <t>John Iverson:</t>
        </r>
        <r>
          <rPr>
            <sz val="9"/>
            <color indexed="81"/>
            <rFont val="Arial"/>
            <family val="2"/>
          </rPr>
          <t xml:space="preserve">
PL = 14.37; CL estimated from PL-CL equations in Meek 1985 British J. Herpetology</t>
        </r>
      </text>
    </comment>
    <comment ref="N2271" authorId="10" shapeId="0" xr:uid="{00000000-0006-0000-0000-0000250A0000}">
      <text>
        <r>
          <rPr>
            <b/>
            <sz val="9"/>
            <color indexed="81"/>
            <rFont val="Arial"/>
            <family val="2"/>
          </rPr>
          <t>John Iverson:</t>
        </r>
        <r>
          <rPr>
            <sz val="9"/>
            <color indexed="81"/>
            <rFont val="Arial"/>
            <family val="2"/>
          </rPr>
          <t xml:space="preserve">
estimated from our egg data set</t>
        </r>
      </text>
    </comment>
    <comment ref="P2271" authorId="10" shapeId="0" xr:uid="{00000000-0006-0000-0000-0000260A0000}">
      <text>
        <r>
          <rPr>
            <b/>
            <sz val="9"/>
            <color indexed="81"/>
            <rFont val="Arial"/>
            <family val="2"/>
          </rPr>
          <t>John Iverson:</t>
        </r>
        <r>
          <rPr>
            <sz val="9"/>
            <color indexed="81"/>
            <rFont val="Arial"/>
            <family val="2"/>
          </rPr>
          <t xml:space="preserve">
estimated from our egg data set</t>
        </r>
      </text>
    </comment>
    <comment ref="T2273" authorId="1269" shapeId="0" xr:uid="{00000000-0006-0000-0000-000027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2-3 by median</t>
        </r>
      </text>
    </comment>
    <comment ref="P2275" authorId="1270" shapeId="0" xr:uid="{00000000-0006-0000-0000-00002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T2277" authorId="7" shapeId="0" xr:uid="{00000000-0006-0000-0000-0000290A0000}">
      <text>
        <r>
          <rPr>
            <b/>
            <sz val="9"/>
            <color indexed="81"/>
            <rFont val="Tahoma"/>
            <family val="2"/>
          </rPr>
          <t>JEnnen:</t>
        </r>
        <r>
          <rPr>
            <sz val="9"/>
            <color indexed="81"/>
            <rFont val="Tahoma"/>
            <family val="2"/>
          </rPr>
          <t xml:space="preserve">
1-3 reported</t>
        </r>
      </text>
    </comment>
    <comment ref="I2278" authorId="1271" shapeId="0" xr:uid="{00000000-0006-0000-0000-00002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0.000690*CL^2.767 from Willemsen et al. 2002 (captive population)</t>
        </r>
      </text>
    </comment>
    <comment ref="K2278" authorId="7" shapeId="0" xr:uid="{00000000-0006-0000-0000-00002B0A0000}">
      <text>
        <r>
          <rPr>
            <b/>
            <sz val="9"/>
            <color indexed="81"/>
            <rFont val="Tahoma"/>
            <family val="2"/>
          </rPr>
          <t>JEnnen:</t>
        </r>
        <r>
          <rPr>
            <sz val="9"/>
            <color indexed="81"/>
            <rFont val="Tahoma"/>
            <family val="2"/>
          </rPr>
          <t xml:space="preserve">
8-12 reported</t>
        </r>
      </text>
    </comment>
    <comment ref="T2279" authorId="7" shapeId="0" xr:uid="{00000000-0006-0000-0000-00002C0A0000}">
      <text>
        <r>
          <rPr>
            <b/>
            <sz val="9"/>
            <color indexed="81"/>
            <rFont val="Tahoma"/>
            <family val="2"/>
          </rPr>
          <t>JEnnen:</t>
        </r>
        <r>
          <rPr>
            <sz val="9"/>
            <color indexed="81"/>
            <rFont val="Tahoma"/>
            <family val="2"/>
          </rPr>
          <t xml:space="preserve">
2-3 reported</t>
        </r>
      </text>
    </comment>
    <comment ref="I2287" authorId="1272" shapeId="0" xr:uid="{00000000-0006-0000-0000-00002D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0.000690*CL^2.767 from Willemsen et al. 2002 (captive population)</t>
        </r>
      </text>
    </comment>
    <comment ref="K2287" authorId="7" shapeId="0" xr:uid="{00000000-0006-0000-0000-00002E0A0000}">
      <text>
        <r>
          <rPr>
            <b/>
            <sz val="9"/>
            <color indexed="81"/>
            <rFont val="Tahoma"/>
            <family val="2"/>
          </rPr>
          <t>JEnnen:</t>
        </r>
        <r>
          <rPr>
            <sz val="9"/>
            <color indexed="81"/>
            <rFont val="Tahoma"/>
            <family val="2"/>
          </rPr>
          <t xml:space="preserve">
11-14 reported</t>
        </r>
      </text>
    </comment>
    <comment ref="J2292" authorId="10" shapeId="0" xr:uid="{00000000-0006-0000-0000-00002F0A0000}">
      <text>
        <r>
          <rPr>
            <b/>
            <sz val="9"/>
            <color indexed="81"/>
            <rFont val="Arial"/>
            <family val="2"/>
          </rPr>
          <t>John Iverson:</t>
        </r>
        <r>
          <rPr>
            <sz val="9"/>
            <color indexed="81"/>
            <rFont val="Arial"/>
            <family val="2"/>
          </rPr>
          <t xml:space="preserve">
Estimated from BM-CL data in Willemsen and Hailey 2002</t>
        </r>
      </text>
    </comment>
    <comment ref="N2292" authorId="10" shapeId="0" xr:uid="{00000000-0006-0000-0000-0000300A0000}">
      <text>
        <r>
          <rPr>
            <b/>
            <sz val="9"/>
            <color indexed="81"/>
            <rFont val="Arial"/>
            <family val="2"/>
          </rPr>
          <t>John Iverson:</t>
        </r>
        <r>
          <rPr>
            <sz val="9"/>
            <color indexed="81"/>
            <rFont val="Arial"/>
            <family val="2"/>
          </rPr>
          <t xml:space="preserve">
estmated from our egg data set</t>
        </r>
      </text>
    </comment>
    <comment ref="O2292" authorId="10" shapeId="0" xr:uid="{00000000-0006-0000-0000-0000310A0000}">
      <text>
        <r>
          <rPr>
            <b/>
            <sz val="9"/>
            <color indexed="81"/>
            <rFont val="Arial"/>
            <family val="2"/>
          </rPr>
          <t>John Iverson:</t>
        </r>
        <r>
          <rPr>
            <sz val="9"/>
            <color indexed="81"/>
            <rFont val="Arial"/>
            <family val="2"/>
          </rPr>
          <t xml:space="preserve">
estmated from our egg data set</t>
        </r>
      </text>
    </comment>
    <comment ref="J2293" authorId="10" shapeId="0" xr:uid="{00000000-0006-0000-0000-0000320A0000}">
      <text>
        <r>
          <rPr>
            <b/>
            <sz val="9"/>
            <color indexed="81"/>
            <rFont val="Arial"/>
            <family val="2"/>
          </rPr>
          <t>John Iverson:</t>
        </r>
        <r>
          <rPr>
            <sz val="9"/>
            <color indexed="81"/>
            <rFont val="Arial"/>
            <family val="2"/>
          </rPr>
          <t xml:space="preserve">
Estimated from BM-CL data in Willemsen and Hailey 2002</t>
        </r>
      </text>
    </comment>
    <comment ref="N2293" authorId="10" shapeId="0" xr:uid="{00000000-0006-0000-0000-0000330A0000}">
      <text>
        <r>
          <rPr>
            <b/>
            <sz val="9"/>
            <color indexed="81"/>
            <rFont val="Arial"/>
            <family val="2"/>
          </rPr>
          <t>John Iverson:</t>
        </r>
        <r>
          <rPr>
            <sz val="9"/>
            <color indexed="81"/>
            <rFont val="Arial"/>
            <family val="2"/>
          </rPr>
          <t xml:space="preserve">
estmated from our egg data set</t>
        </r>
      </text>
    </comment>
    <comment ref="O2293" authorId="10" shapeId="0" xr:uid="{00000000-0006-0000-0000-0000340A0000}">
      <text>
        <r>
          <rPr>
            <b/>
            <sz val="9"/>
            <color indexed="81"/>
            <rFont val="Arial"/>
            <family val="2"/>
          </rPr>
          <t>John Iverson:</t>
        </r>
        <r>
          <rPr>
            <sz val="9"/>
            <color indexed="81"/>
            <rFont val="Arial"/>
            <family val="2"/>
          </rPr>
          <t xml:space="preserve">
estmated from our egg data set</t>
        </r>
      </text>
    </comment>
    <comment ref="K2294" authorId="1273" shapeId="0" xr:uid="{00000000-0006-0000-0000-000035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7.2-16.6 years across 17 populations</t>
        </r>
      </text>
    </comment>
    <comment ref="P2295" authorId="1274" shapeId="0" xr:uid="{00000000-0006-0000-0000-00003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L2296" authorId="7" shapeId="0" xr:uid="{00000000-0006-0000-0000-0000370A0000}">
      <text>
        <r>
          <rPr>
            <b/>
            <sz val="9"/>
            <color indexed="81"/>
            <rFont val="Tahoma"/>
            <family val="2"/>
          </rPr>
          <t>JEnnen:</t>
        </r>
        <r>
          <rPr>
            <sz val="9"/>
            <color indexed="81"/>
            <rFont val="Tahoma"/>
            <family val="2"/>
          </rPr>
          <t xml:space="preserve">
1-5</t>
        </r>
      </text>
    </comment>
    <comment ref="N2297" authorId="10" shapeId="0" xr:uid="{00000000-0006-0000-0000-0000380A0000}">
      <text>
        <r>
          <rPr>
            <b/>
            <sz val="9"/>
            <color indexed="81"/>
            <rFont val="Arial"/>
            <family val="2"/>
          </rPr>
          <t>John Iverson:</t>
        </r>
        <r>
          <rPr>
            <sz val="9"/>
            <color indexed="81"/>
            <rFont val="Arial"/>
            <family val="2"/>
          </rPr>
          <t xml:space="preserve">
"39-44"</t>
        </r>
      </text>
    </comment>
    <comment ref="O2297" authorId="10" shapeId="0" xr:uid="{00000000-0006-0000-0000-0000390A0000}">
      <text>
        <r>
          <rPr>
            <b/>
            <sz val="9"/>
            <color indexed="81"/>
            <rFont val="Arial"/>
            <family val="2"/>
          </rPr>
          <t>John Iverson:</t>
        </r>
        <r>
          <rPr>
            <sz val="9"/>
            <color indexed="81"/>
            <rFont val="Arial"/>
            <family val="2"/>
          </rPr>
          <t xml:space="preserve">
"27-30"
</t>
        </r>
      </text>
    </comment>
    <comment ref="P2297" authorId="10" shapeId="0" xr:uid="{00000000-0006-0000-0000-00003A0A0000}">
      <text>
        <r>
          <rPr>
            <b/>
            <sz val="9"/>
            <color indexed="81"/>
            <rFont val="Arial"/>
            <family val="2"/>
          </rPr>
          <t>John Iverson:</t>
        </r>
        <r>
          <rPr>
            <sz val="9"/>
            <color indexed="81"/>
            <rFont val="Arial"/>
            <family val="2"/>
          </rPr>
          <t xml:space="preserve">
"17-19"</t>
        </r>
      </text>
    </comment>
    <comment ref="L2298" authorId="7" shapeId="0" xr:uid="{00000000-0006-0000-0000-00003B0A0000}">
      <text>
        <r>
          <rPr>
            <b/>
            <sz val="9"/>
            <color indexed="81"/>
            <rFont val="Tahoma"/>
            <family val="2"/>
          </rPr>
          <t>JEnnen:</t>
        </r>
        <r>
          <rPr>
            <sz val="9"/>
            <color indexed="81"/>
            <rFont val="Tahoma"/>
            <family val="2"/>
          </rPr>
          <t xml:space="preserve">
2-4</t>
        </r>
      </text>
    </comment>
    <comment ref="N2298" authorId="1275" shapeId="0" xr:uid="{00000000-0006-0000-0000-00003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45-49</t>
        </r>
      </text>
    </comment>
    <comment ref="P2298" authorId="1276" shapeId="0" xr:uid="{00000000-0006-0000-0000-00003D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22-27</t>
        </r>
      </text>
    </comment>
    <comment ref="P2301" authorId="10" shapeId="0" xr:uid="{00000000-0006-0000-0000-00003E0A0000}">
      <text>
        <r>
          <rPr>
            <b/>
            <sz val="9"/>
            <color indexed="81"/>
            <rFont val="Arial"/>
            <family val="2"/>
          </rPr>
          <t>John Iverson:</t>
        </r>
        <r>
          <rPr>
            <sz val="9"/>
            <color indexed="81"/>
            <rFont val="Arial"/>
            <family val="2"/>
          </rPr>
          <t xml:space="preserve">
estimated from our egg data set for M. tornieri</t>
        </r>
      </text>
    </comment>
    <comment ref="P2303" authorId="10" shapeId="0" xr:uid="{00000000-0006-0000-0000-00003F0A0000}">
      <text>
        <r>
          <rPr>
            <b/>
            <sz val="9"/>
            <color indexed="81"/>
            <rFont val="Arial"/>
            <family val="2"/>
          </rPr>
          <t>John Iverson:</t>
        </r>
        <r>
          <rPr>
            <sz val="9"/>
            <color indexed="81"/>
            <rFont val="Arial"/>
            <family val="2"/>
          </rPr>
          <t xml:space="preserve">
estimated from our egg data set for M. tornieri</t>
        </r>
      </text>
    </comment>
    <comment ref="L2304" authorId="7" shapeId="0" xr:uid="{00000000-0006-0000-0000-0000400A0000}">
      <text>
        <r>
          <rPr>
            <b/>
            <sz val="9"/>
            <color indexed="81"/>
            <rFont val="Tahoma"/>
            <family val="2"/>
          </rPr>
          <t>JEnnen:</t>
        </r>
        <r>
          <rPr>
            <sz val="9"/>
            <color indexed="81"/>
            <rFont val="Tahoma"/>
            <family val="2"/>
          </rPr>
          <t xml:space="preserve">
2-5</t>
        </r>
      </text>
    </comment>
    <comment ref="O2304" authorId="1277" shapeId="0" xr:uid="{00000000-0006-0000-0000-000041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42-57 by taking median</t>
        </r>
      </text>
    </comment>
    <comment ref="T2304" authorId="7" shapeId="0" xr:uid="{00000000-0006-0000-0000-0000420A0000}">
      <text>
        <r>
          <rPr>
            <b/>
            <sz val="9"/>
            <color indexed="81"/>
            <rFont val="Tahoma"/>
            <family val="2"/>
          </rPr>
          <t>JEnnen:</t>
        </r>
        <r>
          <rPr>
            <sz val="9"/>
            <color indexed="81"/>
            <rFont val="Tahoma"/>
            <family val="2"/>
          </rPr>
          <t xml:space="preserve">
2-3 reported</t>
        </r>
      </text>
    </comment>
    <comment ref="K2305" authorId="7" shapeId="0" xr:uid="{00000000-0006-0000-0000-0000430A0000}">
      <text>
        <r>
          <rPr>
            <b/>
            <sz val="9"/>
            <color indexed="81"/>
            <rFont val="Tahoma"/>
            <family val="2"/>
          </rPr>
          <t>JEnnen:</t>
        </r>
        <r>
          <rPr>
            <sz val="9"/>
            <color indexed="81"/>
            <rFont val="Tahoma"/>
            <family val="2"/>
          </rPr>
          <t xml:space="preserve">
11-14 reported</t>
        </r>
      </text>
    </comment>
    <comment ref="T2305" authorId="7" shapeId="0" xr:uid="{00000000-0006-0000-0000-0000440A0000}">
      <text>
        <r>
          <rPr>
            <b/>
            <sz val="9"/>
            <color indexed="81"/>
            <rFont val="Tahoma"/>
            <family val="2"/>
          </rPr>
          <t>JEnnen:</t>
        </r>
        <r>
          <rPr>
            <sz val="9"/>
            <color indexed="81"/>
            <rFont val="Tahoma"/>
            <family val="2"/>
          </rPr>
          <t xml:space="preserve">
3-4 reported</t>
        </r>
      </text>
    </comment>
    <comment ref="L2306" authorId="7" shapeId="0" xr:uid="{00000000-0006-0000-0000-0000450A0000}">
      <text>
        <r>
          <rPr>
            <b/>
            <sz val="9"/>
            <color indexed="81"/>
            <rFont val="Tahoma"/>
            <family val="2"/>
          </rPr>
          <t>JEnnen:</t>
        </r>
        <r>
          <rPr>
            <sz val="9"/>
            <color indexed="81"/>
            <rFont val="Tahoma"/>
            <family val="2"/>
          </rPr>
          <t xml:space="preserve">
3-5</t>
        </r>
      </text>
    </comment>
    <comment ref="P2306" authorId="10" shapeId="0" xr:uid="{00000000-0006-0000-0000-0000460A0000}">
      <text>
        <r>
          <rPr>
            <b/>
            <sz val="9"/>
            <color indexed="81"/>
            <rFont val="Arial"/>
            <family val="2"/>
          </rPr>
          <t>John Iverson:</t>
        </r>
        <r>
          <rPr>
            <sz val="9"/>
            <color indexed="81"/>
            <rFont val="Arial"/>
            <family val="2"/>
          </rPr>
          <t xml:space="preserve">
estimated from our egg data set for M. tornieri</t>
        </r>
      </text>
    </comment>
    <comment ref="I2307" authorId="1278" shapeId="0" xr:uid="{00000000-0006-0000-0000-000047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17-20 by taking median</t>
        </r>
      </text>
    </comment>
    <comment ref="L2307" authorId="1279" shapeId="0" xr:uid="{00000000-0006-0000-0000-00004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3</t>
        </r>
      </text>
    </comment>
    <comment ref="N2307" authorId="1280" shapeId="0" xr:uid="{00000000-0006-0000-0000-000049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35-45</t>
        </r>
      </text>
    </comment>
    <comment ref="O2307" authorId="1281" shapeId="0" xr:uid="{00000000-0006-0000-0000-00004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25-35</t>
        </r>
      </text>
    </comment>
    <comment ref="P2307" authorId="1282" shapeId="0" xr:uid="{00000000-0006-0000-0000-00004B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20-25</t>
        </r>
      </text>
    </comment>
    <comment ref="T2307" authorId="7" shapeId="0" xr:uid="{00000000-0006-0000-0000-00004C0A0000}">
      <text>
        <r>
          <rPr>
            <b/>
            <sz val="9"/>
            <color indexed="81"/>
            <rFont val="Tahoma"/>
            <family val="2"/>
          </rPr>
          <t>JEnnen:</t>
        </r>
        <r>
          <rPr>
            <sz val="9"/>
            <color indexed="81"/>
            <rFont val="Tahoma"/>
            <family val="2"/>
          </rPr>
          <t xml:space="preserve">
2-3 reported</t>
        </r>
      </text>
    </comment>
    <comment ref="L2309" authorId="10" shapeId="0" xr:uid="{00000000-0006-0000-0000-00004D0A0000}">
      <text>
        <r>
          <rPr>
            <b/>
            <sz val="9"/>
            <color indexed="81"/>
            <rFont val="Arial"/>
            <family val="2"/>
          </rPr>
          <t>John Iverson:</t>
        </r>
        <r>
          <rPr>
            <sz val="9"/>
            <color indexed="81"/>
            <rFont val="Arial"/>
            <family val="2"/>
          </rPr>
          <t xml:space="preserve">
"3-7"</t>
        </r>
      </text>
    </comment>
    <comment ref="P2309" authorId="10" shapeId="0" xr:uid="{00000000-0006-0000-0000-00004E0A0000}">
      <text>
        <r>
          <rPr>
            <b/>
            <sz val="9"/>
            <color indexed="81"/>
            <rFont val="Arial"/>
            <family val="2"/>
          </rPr>
          <t>John Iverson:</t>
        </r>
        <r>
          <rPr>
            <sz val="9"/>
            <color indexed="81"/>
            <rFont val="Arial"/>
            <family val="2"/>
          </rPr>
          <t xml:space="preserve">
estimated from our egg set data for Malacochersus tornieri</t>
        </r>
      </text>
    </comment>
    <comment ref="O2310" authorId="10" shapeId="0" xr:uid="{00000000-0006-0000-0000-00004F0A0000}">
      <text>
        <r>
          <rPr>
            <b/>
            <sz val="9"/>
            <color indexed="81"/>
            <rFont val="Arial"/>
            <family val="2"/>
          </rPr>
          <t>John Iverson:</t>
        </r>
        <r>
          <rPr>
            <sz val="9"/>
            <color indexed="81"/>
            <rFont val="Arial"/>
            <family val="2"/>
          </rPr>
          <t xml:space="preserve">
"25-30"</t>
        </r>
      </text>
    </comment>
    <comment ref="T2310" authorId="10" shapeId="0" xr:uid="{00000000-0006-0000-0000-0000500A0000}">
      <text>
        <r>
          <rPr>
            <b/>
            <sz val="9"/>
            <color indexed="81"/>
            <rFont val="Arial"/>
            <family val="2"/>
          </rPr>
          <t>John Iverson:</t>
        </r>
        <r>
          <rPr>
            <sz val="9"/>
            <color indexed="81"/>
            <rFont val="Arial"/>
            <family val="2"/>
          </rPr>
          <t xml:space="preserve">
"2-12"</t>
        </r>
      </text>
    </comment>
    <comment ref="I2311" authorId="1283" shapeId="0" xr:uid="{00000000-0006-0000-0000-000051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I2312" authorId="10" shapeId="0" xr:uid="{00000000-0006-0000-0000-0000520A0000}">
      <text>
        <r>
          <rPr>
            <b/>
            <sz val="9"/>
            <color indexed="81"/>
            <rFont val="Arial"/>
            <family val="2"/>
          </rPr>
          <t>John Iverson:</t>
        </r>
        <r>
          <rPr>
            <sz val="9"/>
            <color indexed="81"/>
            <rFont val="Arial"/>
            <family val="2"/>
          </rPr>
          <t xml:space="preserve">
N = 4 females
</t>
        </r>
      </text>
    </comment>
    <comment ref="J2312" authorId="1284" shapeId="0" xr:uid="{00000000-0006-0000-0000-000053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T2313" authorId="10" shapeId="0" xr:uid="{00000000-0006-0000-0000-0000540A0000}">
      <text>
        <r>
          <rPr>
            <b/>
            <sz val="9"/>
            <color indexed="81"/>
            <rFont val="Arial"/>
            <family val="2"/>
          </rPr>
          <t>John Iverson:</t>
        </r>
        <r>
          <rPr>
            <sz val="9"/>
            <color indexed="81"/>
            <rFont val="Arial"/>
            <family val="2"/>
          </rPr>
          <t xml:space="preserve">
up to 4</t>
        </r>
      </text>
    </comment>
    <comment ref="J2314" authorId="1285" shapeId="0" xr:uid="{00000000-0006-0000-0000-000055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I2315" authorId="1286" shapeId="0" xr:uid="{00000000-0006-0000-0000-00005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T2315" authorId="7" shapeId="0" xr:uid="{00000000-0006-0000-0000-0000570A0000}">
      <text>
        <r>
          <rPr>
            <b/>
            <sz val="9"/>
            <color indexed="81"/>
            <rFont val="Tahoma"/>
            <family val="2"/>
          </rPr>
          <t>JEnnen:</t>
        </r>
        <r>
          <rPr>
            <sz val="9"/>
            <color indexed="81"/>
            <rFont val="Tahoma"/>
            <family val="2"/>
          </rPr>
          <t xml:space="preserve">
1-2 reported</t>
        </r>
      </text>
    </comment>
    <comment ref="P2316" authorId="1287" shapeId="0" xr:uid="{00000000-0006-0000-0000-00005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our egg database using Testudo hermanni</t>
        </r>
      </text>
    </comment>
    <comment ref="T2317" authorId="7" shapeId="0" xr:uid="{00000000-0006-0000-0000-0000590A0000}">
      <text>
        <r>
          <rPr>
            <b/>
            <sz val="9"/>
            <color indexed="81"/>
            <rFont val="Tahoma"/>
            <family val="2"/>
          </rPr>
          <t>JEnnen:</t>
        </r>
        <r>
          <rPr>
            <sz val="9"/>
            <color indexed="81"/>
            <rFont val="Tahoma"/>
            <family val="2"/>
          </rPr>
          <t xml:space="preserve">
1-4 reported</t>
        </r>
      </text>
    </comment>
    <comment ref="L2318" authorId="1288" shapeId="0" xr:uid="{00000000-0006-0000-0000-00005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2</t>
        </r>
      </text>
    </comment>
    <comment ref="T2319" authorId="7" shapeId="0" xr:uid="{00000000-0006-0000-0000-00005B0A0000}">
      <text>
        <r>
          <rPr>
            <b/>
            <sz val="9"/>
            <color indexed="81"/>
            <rFont val="Tahoma"/>
            <family val="2"/>
          </rPr>
          <t>JEnnen:</t>
        </r>
        <r>
          <rPr>
            <sz val="9"/>
            <color indexed="81"/>
            <rFont val="Tahoma"/>
            <family val="2"/>
          </rPr>
          <t xml:space="preserve">
2-3 reported</t>
        </r>
      </text>
    </comment>
    <comment ref="I2320" authorId="1289" shapeId="0" xr:uid="{00000000-0006-0000-0000-00005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using species.</t>
        </r>
      </text>
    </comment>
    <comment ref="L2320" authorId="1290" shapeId="0" xr:uid="{00000000-0006-0000-0000-00005D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up to 4</t>
        </r>
      </text>
    </comment>
    <comment ref="T2320" authorId="1291" shapeId="0" xr:uid="{00000000-0006-0000-0000-00005E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up to 18 total eggs in one year</t>
        </r>
      </text>
    </comment>
    <comment ref="L2321" authorId="7" shapeId="0" xr:uid="{00000000-0006-0000-0000-00005F0A0000}">
      <text>
        <r>
          <rPr>
            <b/>
            <sz val="9"/>
            <color indexed="81"/>
            <rFont val="Tahoma"/>
            <family val="2"/>
          </rPr>
          <t>JEnnen:</t>
        </r>
        <r>
          <rPr>
            <sz val="9"/>
            <color indexed="81"/>
            <rFont val="Tahoma"/>
            <family val="2"/>
          </rPr>
          <t xml:space="preserve">
1-3
</t>
        </r>
      </text>
    </comment>
    <comment ref="P2321" authorId="1292" shapeId="0" xr:uid="{00000000-0006-0000-0000-000060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regressions in our egg database using Testudo hermanni</t>
        </r>
      </text>
    </comment>
    <comment ref="L2322" authorId="7" shapeId="0" xr:uid="{00000000-0006-0000-0000-0000610A0000}">
      <text>
        <r>
          <rPr>
            <b/>
            <sz val="9"/>
            <color indexed="81"/>
            <rFont val="Tahoma"/>
            <family val="2"/>
          </rPr>
          <t>JEnnen:5-8</t>
        </r>
      </text>
    </comment>
    <comment ref="T2325" authorId="7" shapeId="0" xr:uid="{00000000-0006-0000-0000-0000620A0000}">
      <text>
        <r>
          <rPr>
            <b/>
            <sz val="9"/>
            <color indexed="81"/>
            <rFont val="Tahoma"/>
            <family val="2"/>
          </rPr>
          <t>JEnnen:</t>
        </r>
        <r>
          <rPr>
            <sz val="9"/>
            <color indexed="81"/>
            <rFont val="Tahoma"/>
            <family val="2"/>
          </rPr>
          <t xml:space="preserve">
2-3 reported</t>
        </r>
      </text>
    </comment>
    <comment ref="J2327" authorId="1293" shapeId="0" xr:uid="{00000000-0006-0000-0000-000063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0.0005977*CL^2.747 in Lambert et al. (1988)</t>
        </r>
      </text>
    </comment>
    <comment ref="J2328" authorId="10" shapeId="0" xr:uid="{00000000-0006-0000-0000-0000640A0000}">
      <text>
        <r>
          <rPr>
            <b/>
            <sz val="9"/>
            <color indexed="81"/>
            <rFont val="Arial"/>
            <family val="2"/>
          </rPr>
          <t>John Iverson:</t>
        </r>
        <r>
          <rPr>
            <sz val="9"/>
            <color indexed="81"/>
            <rFont val="Arial"/>
            <family val="2"/>
          </rPr>
          <t xml:space="preserve">
estimated from range in paper</t>
        </r>
      </text>
    </comment>
    <comment ref="P2328" authorId="10" shapeId="0" xr:uid="{00000000-0006-0000-0000-0000650A0000}">
      <text>
        <r>
          <rPr>
            <b/>
            <sz val="9"/>
            <color indexed="81"/>
            <rFont val="Arial"/>
            <family val="2"/>
          </rPr>
          <t>John Iverson:</t>
        </r>
        <r>
          <rPr>
            <sz val="9"/>
            <color indexed="81"/>
            <rFont val="Arial"/>
            <family val="2"/>
          </rPr>
          <t xml:space="preserve">
estimated from our egg data set for T. hermanni</t>
        </r>
      </text>
    </comment>
    <comment ref="I2329" authorId="1294" shapeId="0" xr:uid="{00000000-0006-0000-0000-00006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BM = 0.0005977*CL^2.747 in Lambert et al. (1988)</t>
        </r>
      </text>
    </comment>
    <comment ref="K2332" authorId="1295" shapeId="0" xr:uid="{00000000-0006-0000-0000-000067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20 months (captivity)</t>
        </r>
      </text>
    </comment>
    <comment ref="L2332" authorId="1296" shapeId="0" xr:uid="{00000000-0006-0000-0000-00006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6-10 in small ones and 20-30 in large ones</t>
        </r>
      </text>
    </comment>
    <comment ref="T2332" authorId="7" shapeId="0" xr:uid="{00000000-0006-0000-0000-0000690A0000}">
      <text>
        <r>
          <rPr>
            <b/>
            <sz val="9"/>
            <color indexed="81"/>
            <rFont val="Tahoma"/>
            <family val="2"/>
          </rPr>
          <t>JEnnen:</t>
        </r>
        <r>
          <rPr>
            <sz val="9"/>
            <color indexed="81"/>
            <rFont val="Tahoma"/>
            <family val="2"/>
          </rPr>
          <t xml:space="preserve">
3-4 reported</t>
        </r>
      </text>
    </comment>
    <comment ref="I2335" authorId="1297" shapeId="0" xr:uid="{00000000-0006-0000-0000-00006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PL = 38.81</t>
        </r>
      </text>
    </comment>
    <comment ref="J2335" authorId="1298" shapeId="0" xr:uid="{00000000-0006-0000-0000-00006B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CL-BM regression database</t>
        </r>
      </text>
    </comment>
    <comment ref="I2336" authorId="1299" shapeId="0" xr:uid="{00000000-0006-0000-0000-00006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regression Iverson and Moler 1997 (Sept 2020)
Note: converted CL to PL (PL/CL = 0.783)</t>
        </r>
      </text>
    </comment>
    <comment ref="J2337" authorId="10" shapeId="0" xr:uid="{00000000-0006-0000-0000-00006D0A0000}">
      <text>
        <r>
          <rPr>
            <b/>
            <sz val="9"/>
            <color indexed="81"/>
            <rFont val="Arial"/>
            <family val="2"/>
          </rPr>
          <t>John Iverson:</t>
        </r>
        <r>
          <rPr>
            <sz val="9"/>
            <color indexed="81"/>
            <rFont val="Arial"/>
            <family val="2"/>
          </rPr>
          <t xml:space="preserve">
Estimated from regression Iverson and Moler 1997 (July 2020)
Note: converted CL to PL (PL/CL = 0.783)</t>
        </r>
      </text>
    </comment>
    <comment ref="P2337" authorId="10" shapeId="0" xr:uid="{00000000-0006-0000-0000-00006E0A0000}">
      <text>
        <r>
          <rPr>
            <b/>
            <sz val="9"/>
            <color indexed="81"/>
            <rFont val="Arial"/>
            <family val="2"/>
          </rPr>
          <t>John Iverson:</t>
        </r>
        <r>
          <rPr>
            <sz val="9"/>
            <color indexed="81"/>
            <rFont val="Arial"/>
            <family val="2"/>
          </rPr>
          <t xml:space="preserve">
estimated from our egg data set</t>
        </r>
      </text>
    </comment>
    <comment ref="J2338" authorId="1300" shapeId="0" xr:uid="{00000000-0006-0000-0000-00006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from Iverson and Moler 1997 (Sept 2020)</t>
        </r>
      </text>
    </comment>
    <comment ref="P2339" authorId="10" shapeId="0" xr:uid="{00000000-0006-0000-0000-0000700A0000}">
      <text>
        <r>
          <rPr>
            <b/>
            <sz val="9"/>
            <color indexed="81"/>
            <rFont val="Arial"/>
            <family val="2"/>
          </rPr>
          <t>John Iverson:</t>
        </r>
        <r>
          <rPr>
            <sz val="9"/>
            <color indexed="81"/>
            <rFont val="Arial"/>
            <family val="2"/>
          </rPr>
          <t xml:space="preserve">
estimated from our egg data set</t>
        </r>
      </text>
    </comment>
    <comment ref="G2340" authorId="1301" shapeId="0" xr:uid="{00000000-0006-0000-0000-0000710A0000}">
      <text>
        <r>
          <rPr>
            <sz val="10"/>
            <color rgb="FF000000"/>
            <rFont val="Arial"/>
            <family val="2"/>
          </rPr>
          <t xml:space="preserve">
Comment:
    estimated ca 29</t>
        </r>
      </text>
    </comment>
    <comment ref="O2340" authorId="1" shapeId="0" xr:uid="{00000000-0006-0000-0000-0000720A0000}">
      <text>
        <r>
          <rPr>
            <sz val="10"/>
            <color rgb="FF000000"/>
            <rFont val="Arial"/>
            <family val="2"/>
          </rPr>
          <t>estimated by author
	-Joshua Ennen</t>
        </r>
      </text>
    </comment>
    <comment ref="P2340" authorId="1" shapeId="0" xr:uid="{00000000-0006-0000-0000-0000730A0000}">
      <text>
        <r>
          <rPr>
            <sz val="10"/>
            <color rgb="FF000000"/>
            <rFont val="Arial"/>
            <family val="2"/>
          </rPr>
          <t>estiamted by the author
	-Joshua Ennen</t>
        </r>
      </text>
    </comment>
    <comment ref="R2340" authorId="1" shapeId="0" xr:uid="{00000000-0006-0000-0000-0000740A0000}">
      <text>
        <r>
          <rPr>
            <sz val="10"/>
            <color rgb="FF000000"/>
            <rFont val="Arial"/>
            <family val="2"/>
          </rPr>
          <t>estimated by the author
	-Joshua Ennen</t>
        </r>
      </text>
    </comment>
    <comment ref="J2341" authorId="10" shapeId="0" xr:uid="{00000000-0006-0000-0000-0000750A0000}">
      <text>
        <r>
          <rPr>
            <sz val="9"/>
            <color indexed="81"/>
            <rFont val="Arial"/>
            <family val="2"/>
          </rPr>
          <t>Estimated from regression Iverson and Moler 1997 (July 2020)
Note: converted CL to PL (PL/CL = 0.783)</t>
        </r>
      </text>
    </comment>
    <comment ref="O2341" authorId="11" shapeId="0" xr:uid="{00000000-0006-0000-0000-0000760A0000}">
      <text>
        <r>
          <rPr>
            <b/>
            <sz val="9"/>
            <color indexed="81"/>
            <rFont val="Tahoma"/>
            <family val="2"/>
          </rPr>
          <t>TNACI:</t>
        </r>
        <r>
          <rPr>
            <sz val="9"/>
            <color indexed="81"/>
            <rFont val="Tahoma"/>
            <family val="2"/>
          </rPr>
          <t xml:space="preserve">
estimated from y = 1.5174x - 28.867 Iverson unpublished data</t>
        </r>
      </text>
    </comment>
    <comment ref="P2341" authorId="1302" shapeId="0" xr:uid="{00000000-0006-0000-0000-000077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(SEPT 2020)</t>
        </r>
      </text>
    </comment>
    <comment ref="T2342" authorId="7" shapeId="0" xr:uid="{00000000-0006-0000-0000-0000780A0000}">
      <text>
        <r>
          <rPr>
            <b/>
            <sz val="9"/>
            <color indexed="81"/>
            <rFont val="Tahoma"/>
            <family val="2"/>
          </rPr>
          <t>JEnnen:</t>
        </r>
        <r>
          <rPr>
            <sz val="9"/>
            <color indexed="81"/>
            <rFont val="Tahoma"/>
            <family val="2"/>
          </rPr>
          <t xml:space="preserve">
5-6 reported</t>
        </r>
      </text>
    </comment>
    <comment ref="J2343" authorId="10" shapeId="0" xr:uid="{00000000-0006-0000-0000-0000790A0000}">
      <text>
        <r>
          <rPr>
            <b/>
            <sz val="9"/>
            <color indexed="81"/>
            <rFont val="Arial"/>
            <family val="2"/>
          </rPr>
          <t>John Iverson:</t>
        </r>
        <r>
          <rPr>
            <sz val="9"/>
            <color indexed="81"/>
            <rFont val="Arial"/>
            <family val="2"/>
          </rPr>
          <t xml:space="preserve">
Estimated from regression Iverson and Moler 1997 (July 2020)
Note: converted CL to PL (PL/CL = 0.783)</t>
        </r>
      </text>
    </comment>
    <comment ref="O2344" authorId="11" shapeId="0" xr:uid="{00000000-0006-0000-0000-00007A0A0000}">
      <text>
        <r>
          <rPr>
            <b/>
            <sz val="9"/>
            <color indexed="81"/>
            <rFont val="Tahoma"/>
            <family val="2"/>
          </rPr>
          <t>TNACI:</t>
        </r>
        <r>
          <rPr>
            <sz val="9"/>
            <color indexed="81"/>
            <rFont val="Tahoma"/>
            <family val="2"/>
          </rPr>
          <t xml:space="preserve">
estimated from y = 0.8919x - 12.699 Iverson unpublished data</t>
        </r>
      </text>
    </comment>
    <comment ref="G2345" authorId="1303" shapeId="0" xr:uid="{00000000-0006-0000-0000-00007B0A0000}">
      <text>
        <r>
          <rPr>
            <sz val="10"/>
            <color rgb="FF000000"/>
            <rFont val="Arial"/>
            <family val="2"/>
          </rPr>
          <t xml:space="preserve">
Comment:
    estimated ca. 31</t>
        </r>
      </text>
    </comment>
    <comment ref="O2345" authorId="11" shapeId="0" xr:uid="{00000000-0006-0000-0000-00007C0A0000}">
      <text>
        <r>
          <rPr>
            <b/>
            <sz val="9"/>
            <color indexed="81"/>
            <rFont val="Tahoma"/>
            <family val="2"/>
          </rPr>
          <t>TNACI:</t>
        </r>
        <r>
          <rPr>
            <sz val="9"/>
            <color indexed="81"/>
            <rFont val="Tahoma"/>
            <family val="2"/>
          </rPr>
          <t xml:space="preserve">
estimated from y = 0.8919x - 12.699 Iverson unpublished data</t>
        </r>
      </text>
    </comment>
    <comment ref="G2346" authorId="1304" shapeId="0" xr:uid="{00000000-0006-0000-0000-00007D0A0000}">
      <text>
        <r>
          <rPr>
            <sz val="10"/>
            <color rgb="FF000000"/>
            <rFont val="Arial"/>
            <family val="2"/>
          </rPr>
          <t xml:space="preserve">
Comment:
    estimated ca 32.5</t>
        </r>
      </text>
    </comment>
    <comment ref="O2346" authorId="11" shapeId="0" xr:uid="{00000000-0006-0000-0000-00007E0A0000}">
      <text>
        <r>
          <rPr>
            <b/>
            <sz val="9"/>
            <color indexed="81"/>
            <rFont val="Tahoma"/>
            <family val="2"/>
          </rPr>
          <t>TNACI:</t>
        </r>
        <r>
          <rPr>
            <sz val="9"/>
            <color indexed="81"/>
            <rFont val="Tahoma"/>
            <family val="2"/>
          </rPr>
          <t xml:space="preserve">
estimated from y = 0.8919x - 12.699 Iverson unpublished data</t>
        </r>
      </text>
    </comment>
    <comment ref="P2350" authorId="1305" shapeId="0" xr:uid="{00000000-0006-0000-0000-00007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O2351" authorId="11" shapeId="0" xr:uid="{00000000-0006-0000-0000-0000800A0000}">
      <text>
        <r>
          <rPr>
            <b/>
            <sz val="9"/>
            <color indexed="81"/>
            <rFont val="Tahoma"/>
            <family val="2"/>
          </rPr>
          <t>TNACI:</t>
        </r>
        <r>
          <rPr>
            <sz val="9"/>
            <color indexed="81"/>
            <rFont val="Tahoma"/>
            <family val="2"/>
          </rPr>
          <t xml:space="preserve">
estimated from y = 0.8919x - 12.699 Iverson unpublished data</t>
        </r>
      </text>
    </comment>
    <comment ref="O2352" authorId="11" shapeId="0" xr:uid="{00000000-0006-0000-0000-0000810A0000}">
      <text>
        <r>
          <rPr>
            <b/>
            <sz val="9"/>
            <color indexed="81"/>
            <rFont val="Tahoma"/>
            <family val="2"/>
          </rPr>
          <t>TNACI:</t>
        </r>
        <r>
          <rPr>
            <sz val="9"/>
            <color indexed="81"/>
            <rFont val="Tahoma"/>
            <family val="2"/>
          </rPr>
          <t xml:space="preserve">
estimated from y = 0.8919x - 12.699 Iverson unpublished data</t>
        </r>
      </text>
    </comment>
    <comment ref="J2354" authorId="10" shapeId="0" xr:uid="{00000000-0006-0000-0000-0000820A0000}">
      <text>
        <r>
          <rPr>
            <b/>
            <sz val="9"/>
            <color indexed="81"/>
            <rFont val="Arial"/>
            <family val="2"/>
          </rPr>
          <t>John Iverson:</t>
        </r>
        <r>
          <rPr>
            <sz val="9"/>
            <color indexed="81"/>
            <rFont val="Arial"/>
            <family val="2"/>
          </rPr>
          <t xml:space="preserve">
estimated from BM-CL data from Indiana female A. spinifera using Iverson unpublished</t>
        </r>
      </text>
    </comment>
    <comment ref="P2354" authorId="10" shapeId="0" xr:uid="{00000000-0006-0000-0000-0000830A0000}">
      <text>
        <r>
          <rPr>
            <b/>
            <sz val="9"/>
            <color indexed="81"/>
            <rFont val="Arial"/>
            <family val="2"/>
          </rPr>
          <t>John Iverson:</t>
        </r>
        <r>
          <rPr>
            <sz val="9"/>
            <color indexed="81"/>
            <rFont val="Arial"/>
            <family val="2"/>
          </rPr>
          <t xml:space="preserve">
estimated from our egg data set
</t>
        </r>
      </text>
    </comment>
    <comment ref="O2355" authorId="11" shapeId="0" xr:uid="{00000000-0006-0000-0000-0000840A0000}">
      <text>
        <r>
          <rPr>
            <b/>
            <sz val="9"/>
            <color indexed="81"/>
            <rFont val="Tahoma"/>
            <family val="2"/>
          </rPr>
          <t>TNACI:</t>
        </r>
        <r>
          <rPr>
            <sz val="9"/>
            <color indexed="81"/>
            <rFont val="Tahoma"/>
            <family val="2"/>
          </rPr>
          <t xml:space="preserve">
estimated from y = 0.8919x - 12.699 Iverson unpublished data</t>
        </r>
      </text>
    </comment>
    <comment ref="O2356" authorId="11" shapeId="0" xr:uid="{00000000-0006-0000-0000-0000850A0000}">
      <text>
        <r>
          <rPr>
            <b/>
            <sz val="9"/>
            <color indexed="81"/>
            <rFont val="Tahoma"/>
            <family val="2"/>
          </rPr>
          <t>TNACI:</t>
        </r>
        <r>
          <rPr>
            <sz val="9"/>
            <color indexed="81"/>
            <rFont val="Tahoma"/>
            <family val="2"/>
          </rPr>
          <t xml:space="preserve">
estimated from EM = 0.317EL + 0.665EW - 15.505 Iverson unpublished data</t>
        </r>
      </text>
    </comment>
    <comment ref="I2357" authorId="10" shapeId="0" xr:uid="{00000000-0006-0000-0000-0000860A0000}">
      <text>
        <r>
          <rPr>
            <b/>
            <sz val="9"/>
            <color indexed="81"/>
            <rFont val="Arial"/>
            <family val="2"/>
          </rPr>
          <t>John Iverson:</t>
        </r>
        <r>
          <rPr>
            <sz val="9"/>
            <color indexed="81"/>
            <rFont val="Arial"/>
            <family val="2"/>
          </rPr>
          <t xml:space="preserve">
PL = 15.52; CL estimated from PL/CL ratio (0.726) from Fitch and Plummer 1975</t>
        </r>
      </text>
    </comment>
    <comment ref="J2357" authorId="1306" shapeId="0" xr:uid="{00000000-0006-0000-0000-000087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BM-CL regression dataset using Apalone spinifera from NE from Iverson unpublished</t>
        </r>
      </text>
    </comment>
    <comment ref="P2358" authorId="1307" shapeId="0" xr:uid="{00000000-0006-0000-0000-00008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regression database (OCt 2020)</t>
        </r>
      </text>
    </comment>
    <comment ref="T2358" authorId="7" shapeId="0" xr:uid="{00000000-0006-0000-0000-0000890A0000}">
      <text>
        <r>
          <rPr>
            <b/>
            <sz val="9"/>
            <color indexed="81"/>
            <rFont val="Tahoma"/>
            <family val="2"/>
          </rPr>
          <t>JEnnen:</t>
        </r>
        <r>
          <rPr>
            <sz val="9"/>
            <color indexed="81"/>
            <rFont val="Tahoma"/>
            <family val="2"/>
          </rPr>
          <t xml:space="preserve">
1-2 reported</t>
        </r>
      </text>
    </comment>
    <comment ref="K2359" authorId="7" shapeId="0" xr:uid="{00000000-0006-0000-0000-00008A0A0000}">
      <text>
        <r>
          <rPr>
            <b/>
            <sz val="9"/>
            <color indexed="81"/>
            <rFont val="Tahoma"/>
            <family val="2"/>
          </rPr>
          <t>JEnnen:</t>
        </r>
        <r>
          <rPr>
            <sz val="9"/>
            <color indexed="81"/>
            <rFont val="Tahoma"/>
            <family val="2"/>
          </rPr>
          <t xml:space="preserve">
6-7 reported</t>
        </r>
      </text>
    </comment>
    <comment ref="L2366" authorId="10" shapeId="0" xr:uid="{00000000-0006-0000-0000-00008B0A0000}">
      <text>
        <r>
          <rPr>
            <b/>
            <sz val="9"/>
            <color indexed="81"/>
            <rFont val="Arial"/>
            <family val="2"/>
          </rPr>
          <t>John Iverson:</t>
        </r>
        <r>
          <rPr>
            <sz val="9"/>
            <color indexed="81"/>
            <rFont val="Arial"/>
            <family val="2"/>
          </rPr>
          <t xml:space="preserve">
CS is supect; too low</t>
        </r>
      </text>
    </comment>
    <comment ref="N2367" authorId="1308" shapeId="0" xr:uid="{00000000-0006-0000-0000-00008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egg datasheet</t>
        </r>
      </text>
    </comment>
    <comment ref="O2367" authorId="1309" shapeId="0" xr:uid="{00000000-0006-0000-0000-00008D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datasheets</t>
        </r>
      </text>
    </comment>
    <comment ref="J2368" authorId="1310" shapeId="0" xr:uid="{00000000-0006-0000-0000-00008E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0.1012*CL^2.951 Iverson (1984) and Dunson (1967)</t>
        </r>
      </text>
    </comment>
    <comment ref="L2368" authorId="1311" shapeId="0" xr:uid="{00000000-0006-0000-0000-00008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value of 26 apparently represents two clutches</t>
        </r>
      </text>
    </comment>
    <comment ref="P2368" authorId="1312" shapeId="0" xr:uid="{00000000-0006-0000-0000-000090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using our egg database.</t>
        </r>
      </text>
    </comment>
    <comment ref="T2368" authorId="7" shapeId="0" xr:uid="{00000000-0006-0000-0000-0000910A0000}">
      <text>
        <r>
          <rPr>
            <b/>
            <sz val="9"/>
            <color indexed="81"/>
            <rFont val="Tahoma"/>
            <family val="2"/>
          </rPr>
          <t>JEnnen:</t>
        </r>
        <r>
          <rPr>
            <sz val="9"/>
            <color indexed="81"/>
            <rFont val="Tahoma"/>
            <family val="2"/>
          </rPr>
          <t xml:space="preserve">
1-2 reported</t>
        </r>
      </text>
    </comment>
    <comment ref="I2369" authorId="10" shapeId="0" xr:uid="{00000000-0006-0000-0000-0000920A0000}">
      <text>
        <r>
          <rPr>
            <b/>
            <sz val="9"/>
            <color indexed="81"/>
            <rFont val="Arial"/>
            <family val="2"/>
          </rPr>
          <t>John Iverson:</t>
        </r>
        <r>
          <rPr>
            <sz val="9"/>
            <color indexed="81"/>
            <rFont val="Arial"/>
            <family val="2"/>
          </rPr>
          <t xml:space="preserve">
estimated from BM-CL data from Indiana by Iverson unpublished</t>
        </r>
      </text>
    </comment>
    <comment ref="J2369" authorId="10" shapeId="0" xr:uid="{00000000-0006-0000-0000-0000930A0000}">
      <text>
        <r>
          <rPr>
            <b/>
            <sz val="9"/>
            <color indexed="81"/>
            <rFont val="Arial"/>
            <family val="2"/>
          </rPr>
          <t>John Iverson:</t>
        </r>
        <r>
          <rPr>
            <sz val="9"/>
            <color indexed="81"/>
            <rFont val="Arial"/>
            <family val="2"/>
          </rPr>
          <t xml:space="preserve">
estimated from figure 7 in Murphy 1974</t>
        </r>
      </text>
    </comment>
    <comment ref="L2369" authorId="10" shapeId="0" xr:uid="{00000000-0006-0000-0000-0000940A0000}">
      <text>
        <r>
          <rPr>
            <b/>
            <sz val="9"/>
            <color indexed="81"/>
            <rFont val="Arial"/>
            <family val="2"/>
          </rPr>
          <t>John Iverson:</t>
        </r>
        <r>
          <rPr>
            <sz val="9"/>
            <color indexed="81"/>
            <rFont val="Arial"/>
            <family val="2"/>
          </rPr>
          <t xml:space="preserve">
estimated from Figure 2</t>
        </r>
      </text>
    </comment>
    <comment ref="P2369" authorId="10" shapeId="0" xr:uid="{00000000-0006-0000-0000-0000950A0000}">
      <text>
        <r>
          <rPr>
            <b/>
            <sz val="9"/>
            <color indexed="81"/>
            <rFont val="Arial"/>
            <family val="2"/>
          </rPr>
          <t>John Iverson:</t>
        </r>
        <r>
          <rPr>
            <sz val="9"/>
            <color indexed="81"/>
            <rFont val="Arial"/>
            <family val="2"/>
          </rPr>
          <t xml:space="preserve">
estimated from our egg data set</t>
        </r>
      </text>
    </comment>
    <comment ref="J2371" authorId="1313" shapeId="0" xr:uid="{00000000-0006-0000-0000-00009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0.00015996*CL^2.8994 Iverson (unpublished) from Nebraska</t>
        </r>
      </text>
    </comment>
    <comment ref="T2371" authorId="7" shapeId="0" xr:uid="{00000000-0006-0000-0000-0000970A0000}">
      <text>
        <r>
          <rPr>
            <b/>
            <sz val="9"/>
            <color indexed="81"/>
            <rFont val="Tahoma"/>
            <family val="2"/>
          </rPr>
          <t>JEnnen:</t>
        </r>
        <r>
          <rPr>
            <sz val="9"/>
            <color indexed="81"/>
            <rFont val="Tahoma"/>
            <family val="2"/>
          </rPr>
          <t xml:space="preserve">
1-2 reported</t>
        </r>
      </text>
    </comment>
    <comment ref="K2373" authorId="7" shapeId="0" xr:uid="{00000000-0006-0000-0000-0000980A0000}">
      <text>
        <r>
          <rPr>
            <b/>
            <sz val="9"/>
            <color indexed="81"/>
            <rFont val="Tahoma"/>
            <family val="2"/>
          </rPr>
          <t>JEnnen:</t>
        </r>
        <r>
          <rPr>
            <sz val="9"/>
            <color indexed="81"/>
            <rFont val="Tahoma"/>
            <family val="2"/>
          </rPr>
          <t xml:space="preserve">
8-9 reported</t>
        </r>
      </text>
    </comment>
    <comment ref="P2374" authorId="1314" shapeId="0" xr:uid="{00000000-0006-0000-0000-000099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Apalone spinifera (Aug 2020)</t>
        </r>
      </text>
    </comment>
    <comment ref="G2377" authorId="1315" shapeId="0" xr:uid="{00000000-0006-0000-0000-00009A0A0000}">
      <text>
        <r>
          <rPr>
            <sz val="10"/>
            <color rgb="FF000000"/>
            <rFont val="Arial"/>
            <family val="2"/>
          </rPr>
          <t xml:space="preserve">
Comment:
    estimated ca. 24</t>
        </r>
      </text>
    </comment>
    <comment ref="L2380" authorId="7" shapeId="0" xr:uid="{00000000-0006-0000-0000-00009B0A0000}">
      <text>
        <r>
          <rPr>
            <b/>
            <sz val="9"/>
            <color indexed="81"/>
            <rFont val="Tahoma"/>
            <family val="2"/>
          </rPr>
          <t>JEnnen:</t>
        </r>
        <r>
          <rPr>
            <sz val="9"/>
            <color indexed="81"/>
            <rFont val="Tahoma"/>
            <family val="2"/>
          </rPr>
          <t xml:space="preserve">
8-10</t>
        </r>
      </text>
    </comment>
    <comment ref="N2380" authorId="1316" shapeId="0" xr:uid="{00000000-0006-0000-0000-00009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36-42 by taking median</t>
        </r>
      </text>
    </comment>
    <comment ref="J2382" authorId="1317" shapeId="0" xr:uid="{00000000-0006-0000-0000-00009D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cross-population means from genus</t>
        </r>
      </text>
    </comment>
    <comment ref="P2382" authorId="1318" shapeId="0" xr:uid="{00000000-0006-0000-0000-00009E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Apalone spinifera (Aug 2020)</t>
        </r>
      </text>
    </comment>
    <comment ref="I2383" authorId="1319" shapeId="0" xr:uid="{00000000-0006-0000-0000-00009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CCL 74 cm</t>
        </r>
      </text>
    </comment>
    <comment ref="I2384" authorId="1320" shapeId="0" xr:uid="{00000000-0006-0000-0000-0000A0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22.5 cm disk length</t>
        </r>
      </text>
    </comment>
    <comment ref="P2384" authorId="1321" shapeId="0" xr:uid="{00000000-0006-0000-0000-0000A1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Apalone spinifera (Aug 2020)</t>
        </r>
      </text>
    </comment>
    <comment ref="I2386" authorId="10" shapeId="0" xr:uid="{00000000-0006-0000-0000-0000A20A0000}">
      <text>
        <r>
          <rPr>
            <b/>
            <sz val="9"/>
            <color indexed="81"/>
            <rFont val="Arial"/>
            <family val="2"/>
          </rPr>
          <t>John Iverson:</t>
        </r>
        <r>
          <rPr>
            <sz val="9"/>
            <color indexed="81"/>
            <rFont val="Arial"/>
            <family val="2"/>
          </rPr>
          <t xml:space="preserve">
PL = 54 cm</t>
        </r>
      </text>
    </comment>
    <comment ref="J2387" authorId="1322" shapeId="0" xr:uid="{00000000-0006-0000-0000-0000A3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A. spinifera from Iverson unpublished (SEPT 2020)</t>
        </r>
      </text>
    </comment>
    <comment ref="N2387" authorId="1323" shapeId="0" xr:uid="{00000000-0006-0000-0000-0000A4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ranges in original paper</t>
        </r>
      </text>
    </comment>
    <comment ref="P2387" authorId="1324" shapeId="0" xr:uid="{00000000-0006-0000-0000-0000A5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database using Apalone spinifera (Aug 2020)</t>
        </r>
      </text>
    </comment>
    <comment ref="T2387" authorId="1325" shapeId="0" xr:uid="{00000000-0006-0000-0000-0000A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based on follicle counts in dissected female</t>
        </r>
      </text>
    </comment>
    <comment ref="P2389" authorId="10" shapeId="0" xr:uid="{00000000-0006-0000-0000-0000A70A0000}">
      <text>
        <r>
          <rPr>
            <b/>
            <sz val="9"/>
            <color indexed="81"/>
            <rFont val="Arial"/>
            <family val="2"/>
          </rPr>
          <t>John Iverson:</t>
        </r>
        <r>
          <rPr>
            <sz val="9"/>
            <color indexed="81"/>
            <rFont val="Arial"/>
            <family val="2"/>
          </rPr>
          <t xml:space="preserve">
estimated from our egg data set for L. punctata</t>
        </r>
      </text>
    </comment>
    <comment ref="I2393" authorId="10" shapeId="0" xr:uid="{00000000-0006-0000-0000-0000A80A0000}">
      <text>
        <r>
          <rPr>
            <b/>
            <sz val="9"/>
            <color indexed="81"/>
            <rFont val="Arial"/>
            <family val="2"/>
          </rPr>
          <t>John Iverson:</t>
        </r>
        <r>
          <rPr>
            <sz val="9"/>
            <color indexed="81"/>
            <rFont val="Arial"/>
            <family val="2"/>
          </rPr>
          <t xml:space="preserve">
PL = 25.14; PL/CL = 0.946 from Deranyigala 1939</t>
        </r>
      </text>
    </comment>
    <comment ref="J2393" authorId="10" shapeId="0" xr:uid="{00000000-0006-0000-0000-0000A90A0000}">
      <text>
        <r>
          <rPr>
            <b/>
            <sz val="9"/>
            <color indexed="81"/>
            <rFont val="Arial"/>
            <family val="2"/>
          </rPr>
          <t>John Iverson:</t>
        </r>
        <r>
          <rPr>
            <sz val="9"/>
            <color indexed="81"/>
            <rFont val="Arial"/>
            <family val="2"/>
          </rPr>
          <t xml:space="preserve">
estimated from our BM-CL data for L. punctata from Yadava and Prasad 1982</t>
        </r>
      </text>
    </comment>
    <comment ref="I2394" authorId="10" shapeId="0" xr:uid="{00000000-0006-0000-0000-0000AA0A0000}">
      <text>
        <r>
          <rPr>
            <b/>
            <sz val="9"/>
            <color indexed="81"/>
            <rFont val="Arial"/>
            <family val="2"/>
          </rPr>
          <t>John Iverson:</t>
        </r>
        <r>
          <rPr>
            <sz val="9"/>
            <color indexed="81"/>
            <rFont val="Arial"/>
            <family val="2"/>
          </rPr>
          <t xml:space="preserve">
PL = 25.06; PL/CL = 0.946 from Deranyigala 1939</t>
        </r>
      </text>
    </comment>
    <comment ref="G2395" authorId="1" shapeId="0" xr:uid="{00000000-0006-0000-0000-0000AB0A0000}">
      <text>
        <r>
          <rPr>
            <sz val="10"/>
            <color rgb="FF000000"/>
            <rFont val="Arial"/>
            <family val="2"/>
          </rPr>
          <t>Collected at various locations and from fish markets
	-Joshua Ennen</t>
        </r>
      </text>
    </comment>
    <comment ref="I2395" authorId="11" shapeId="0" xr:uid="{00000000-0006-0000-0000-0000AC0A0000}">
      <text>
        <r>
          <rPr>
            <b/>
            <sz val="9"/>
            <color indexed="81"/>
            <rFont val="Tahoma"/>
            <family val="2"/>
          </rPr>
          <t>TNACI:</t>
        </r>
        <r>
          <rPr>
            <sz val="9"/>
            <color indexed="81"/>
            <rFont val="Tahoma"/>
            <family val="2"/>
          </rPr>
          <t xml:space="preserve">
estimated from BM = 0.19454*CL^2.8203 from Yadava &amp; Prasad (1982)</t>
        </r>
      </text>
    </comment>
    <comment ref="R2395" authorId="1" shapeId="0" xr:uid="{00000000-0006-0000-0000-0000AD0A0000}">
      <text>
        <r>
          <rPr>
            <sz val="10"/>
            <color rgb="FF000000"/>
            <rFont val="Arial"/>
            <family val="2"/>
          </rPr>
          <t>Estimated from clutch size and egg mass
	-Joshua Ennen</t>
        </r>
      </text>
    </comment>
    <comment ref="I2396" authorId="11" shapeId="0" xr:uid="{00000000-0006-0000-0000-0000AE0A0000}">
      <text>
        <r>
          <rPr>
            <b/>
            <sz val="9"/>
            <color indexed="81"/>
            <rFont val="Tahoma"/>
            <family val="2"/>
          </rPr>
          <t>TNACI:</t>
        </r>
        <r>
          <rPr>
            <sz val="9"/>
            <color indexed="81"/>
            <rFont val="Tahoma"/>
            <family val="2"/>
          </rPr>
          <t xml:space="preserve">
estimated from BM = 0.19454*CL^2.8203 from Yadava &amp; Prasad (1982)</t>
        </r>
      </text>
    </comment>
    <comment ref="N2396" authorId="1326" shapeId="0" xr:uid="{00000000-0006-0000-0000-0000A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24-30</t>
        </r>
      </text>
    </comment>
    <comment ref="O2396" authorId="1327" shapeId="0" xr:uid="{00000000-0006-0000-0000-0000B0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24-30</t>
        </r>
      </text>
    </comment>
    <comment ref="P2396" authorId="1328" shapeId="0" xr:uid="{00000000-0006-0000-0000-0000B1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regression database DEC 2020</t>
        </r>
      </text>
    </comment>
    <comment ref="G2399" authorId="1329" shapeId="0" xr:uid="{00000000-0006-0000-0000-0000B20A0000}">
      <text>
        <r>
          <rPr>
            <sz val="10"/>
            <color rgb="FF000000"/>
            <rFont val="Arial"/>
            <family val="2"/>
          </rPr>
          <t xml:space="preserve">
Comment:
    Not provided by authors but estimated from the map.</t>
        </r>
      </text>
    </comment>
    <comment ref="G2400" authorId="1330" shapeId="0" xr:uid="{00000000-0006-0000-0000-0000B30A0000}">
      <text>
        <r>
          <rPr>
            <sz val="10"/>
            <color rgb="FF000000"/>
            <rFont val="Arial"/>
            <family val="2"/>
          </rPr>
          <t xml:space="preserve">
Comment:
    estimated ca. 24</t>
        </r>
      </text>
    </comment>
    <comment ref="L2400" authorId="1331" shapeId="0" xr:uid="{00000000-0006-0000-0000-0000B4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2-14 by taking median</t>
        </r>
      </text>
    </comment>
    <comment ref="G2401" authorId="1332" shapeId="0" xr:uid="{00000000-0006-0000-0000-0000B50A0000}">
      <text>
        <r>
          <rPr>
            <sz val="10"/>
            <color rgb="FF000000"/>
            <rFont val="Arial"/>
            <family val="2"/>
          </rPr>
          <t xml:space="preserve">
Comment:
    estimated ca. 23</t>
        </r>
      </text>
    </comment>
    <comment ref="I2401" authorId="11" shapeId="0" xr:uid="{00000000-0006-0000-0000-0000B60A0000}">
      <text>
        <r>
          <rPr>
            <b/>
            <sz val="9"/>
            <color indexed="81"/>
            <rFont val="Tahoma"/>
            <family val="2"/>
          </rPr>
          <t>TNACI:</t>
        </r>
        <r>
          <rPr>
            <sz val="9"/>
            <color indexed="81"/>
            <rFont val="Tahoma"/>
            <family val="2"/>
          </rPr>
          <t xml:space="preserve">
estimated from BM = 0.19454*CL^2.8203 from Yadava &amp; Prasad (1982)</t>
        </r>
      </text>
    </comment>
    <comment ref="L2401" authorId="10" shapeId="0" xr:uid="{00000000-0006-0000-0000-0000B70A0000}">
      <text>
        <r>
          <rPr>
            <b/>
            <sz val="9"/>
            <color indexed="81"/>
            <rFont val="Arial"/>
            <family val="2"/>
          </rPr>
          <t>John Iverson:</t>
        </r>
        <r>
          <rPr>
            <sz val="9"/>
            <color indexed="81"/>
            <rFont val="Arial"/>
            <family val="2"/>
          </rPr>
          <t xml:space="preserve">
assume 14
'12-16</t>
        </r>
      </text>
    </comment>
    <comment ref="T2402" authorId="7" shapeId="0" xr:uid="{00000000-0006-0000-0000-0000B80A0000}">
      <text>
        <r>
          <rPr>
            <b/>
            <sz val="9"/>
            <color indexed="81"/>
            <rFont val="Tahoma"/>
            <family val="2"/>
          </rPr>
          <t>JEnnen:</t>
        </r>
        <r>
          <rPr>
            <sz val="9"/>
            <color indexed="81"/>
            <rFont val="Tahoma"/>
            <family val="2"/>
          </rPr>
          <t xml:space="preserve">
2-3 reported</t>
        </r>
      </text>
    </comment>
    <comment ref="L2404" authorId="7" shapeId="0" xr:uid="{00000000-0006-0000-0000-0000B90A0000}">
      <text>
        <r>
          <rPr>
            <b/>
            <sz val="9"/>
            <color indexed="81"/>
            <rFont val="Tahoma"/>
            <family val="2"/>
          </rPr>
          <t>JEnnen:</t>
        </r>
        <r>
          <rPr>
            <sz val="9"/>
            <color indexed="81"/>
            <rFont val="Tahoma"/>
            <family val="2"/>
          </rPr>
          <t xml:space="preserve">
10-12</t>
        </r>
      </text>
    </comment>
    <comment ref="N2404" authorId="1333" shapeId="0" xr:uid="{00000000-0006-0000-0000-0000B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30-33</t>
        </r>
      </text>
    </comment>
    <comment ref="P2407" authorId="10" shapeId="0" xr:uid="{00000000-0006-0000-0000-0000BB0A0000}">
      <text>
        <r>
          <rPr>
            <b/>
            <sz val="9"/>
            <color indexed="81"/>
            <rFont val="Arial"/>
            <family val="2"/>
          </rPr>
          <t>John Iverson:</t>
        </r>
        <r>
          <rPr>
            <sz val="9"/>
            <color indexed="81"/>
            <rFont val="Arial"/>
            <family val="2"/>
          </rPr>
          <t xml:space="preserve">
Estimated from egg mass data set</t>
        </r>
      </text>
    </comment>
    <comment ref="T2408" authorId="1334" shapeId="0" xr:uid="{00000000-0006-0000-0000-0000B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1-2 from source</t>
        </r>
      </text>
    </comment>
    <comment ref="I2411" authorId="1" shapeId="0" xr:uid="{00000000-0006-0000-0000-0000BD0A0000}">
      <text>
        <r>
          <rPr>
            <sz val="10"/>
            <color rgb="FF000000"/>
            <rFont val="Arial"/>
            <family val="2"/>
          </rPr>
          <t>Only gave a range of 65-70 cm.
	-Joshua Ennen</t>
        </r>
      </text>
    </comment>
    <comment ref="J2411" authorId="1" shapeId="0" xr:uid="{00000000-0006-0000-0000-0000BE0A0000}">
      <text>
        <r>
          <rPr>
            <sz val="10"/>
            <color rgb="FF000000"/>
            <rFont val="Arial"/>
            <family val="2"/>
          </rPr>
          <t>Only reported a range of 18-20 kg
	-Joshua Ennen</t>
        </r>
      </text>
    </comment>
    <comment ref="R2411" authorId="1" shapeId="0" xr:uid="{00000000-0006-0000-0000-0000BF0A0000}">
      <text>
        <r>
          <rPr>
            <sz val="10"/>
            <color rgb="FF000000"/>
            <rFont val="Arial"/>
            <family val="2"/>
          </rPr>
          <t>Estimated from clutch size and egg mass
	-Joshua Ennen</t>
        </r>
      </text>
    </comment>
    <comment ref="G2412" authorId="1335" shapeId="0" xr:uid="{00000000-0006-0000-0000-0000C00A0000}">
      <text>
        <r>
          <rPr>
            <sz val="10"/>
            <color rgb="FF000000"/>
            <rFont val="Arial"/>
            <family val="2"/>
          </rPr>
          <t xml:space="preserve">
Comment:
    estimated ca. 24</t>
        </r>
      </text>
    </comment>
    <comment ref="P2413" authorId="11" shapeId="0" xr:uid="{00000000-0006-0000-0000-0000C10A0000}">
      <text>
        <r>
          <rPr>
            <b/>
            <sz val="9"/>
            <color indexed="81"/>
            <rFont val="Tahoma"/>
            <family val="2"/>
          </rPr>
          <t>TNACI:</t>
        </r>
        <r>
          <rPr>
            <sz val="9"/>
            <color indexed="81"/>
            <rFont val="Tahoma"/>
            <family val="2"/>
          </rPr>
          <t xml:space="preserve">
estimated from EM = 0.158EL + 1.228EW - 23.513 Iverson unpublished data</t>
        </r>
      </text>
    </comment>
    <comment ref="K2414" authorId="7" shapeId="0" xr:uid="{00000000-0006-0000-0000-0000C20A0000}">
      <text>
        <r>
          <rPr>
            <b/>
            <sz val="9"/>
            <color indexed="81"/>
            <rFont val="Tahoma"/>
            <family val="2"/>
          </rPr>
          <t>JEnnen:</t>
        </r>
        <r>
          <rPr>
            <sz val="9"/>
            <color indexed="81"/>
            <rFont val="Tahoma"/>
            <family val="2"/>
          </rPr>
          <t xml:space="preserve">
9-10 reported</t>
        </r>
      </text>
    </comment>
    <comment ref="J2415" authorId="1336" shapeId="0" xr:uid="{00000000-0006-0000-0000-0000C3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 = 2.2356*CL^2.2487 via Rom Whitaker (pers. com.)
Reply:
    seems very low</t>
        </r>
      </text>
    </comment>
    <comment ref="G2417" authorId="1337" shapeId="0" xr:uid="{00000000-0006-0000-0000-0000C40A0000}">
      <text>
        <r>
          <rPr>
            <sz val="10"/>
            <color rgb="FF000000"/>
            <rFont val="Arial"/>
            <family val="2"/>
          </rPr>
          <t xml:space="preserve">
Comment:
    estimated ca. 24</t>
        </r>
      </text>
    </comment>
    <comment ref="L2417" authorId="10" shapeId="0" xr:uid="{00000000-0006-0000-0000-0000C50A0000}">
      <text>
        <r>
          <rPr>
            <b/>
            <sz val="9"/>
            <color indexed="81"/>
            <rFont val="Arial"/>
            <family val="2"/>
          </rPr>
          <t>John Iverson:</t>
        </r>
        <r>
          <rPr>
            <sz val="9"/>
            <color indexed="81"/>
            <rFont val="Arial"/>
            <family val="2"/>
          </rPr>
          <t xml:space="preserve">
"20-30". Estimated from other numbers across clutches</t>
        </r>
      </text>
    </comment>
    <comment ref="K2419" authorId="1338" shapeId="0" xr:uid="{00000000-0006-0000-0000-0000C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7-10 years</t>
        </r>
      </text>
    </comment>
    <comment ref="L2420" authorId="1339" shapeId="0" xr:uid="{00000000-0006-0000-0000-0000C7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10-38 by taking median</t>
        </r>
      </text>
    </comment>
    <comment ref="N2420" authorId="1340" shapeId="0" xr:uid="{00000000-0006-0000-0000-0000C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 32.4-36.3</t>
        </r>
      </text>
    </comment>
    <comment ref="O2420" authorId="1341" shapeId="0" xr:uid="{00000000-0006-0000-0000-0000C9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reported 22.3-29.3; clearly incorrect because species produces round eggs.</t>
        </r>
      </text>
    </comment>
    <comment ref="J2422" authorId="1342" shapeId="0" xr:uid="{00000000-0006-0000-0000-0000C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N. gangetica (Oct 2020)</t>
        </r>
      </text>
    </comment>
    <comment ref="J2423" authorId="1343" shapeId="0" xr:uid="{00000000-0006-0000-0000-0000CB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N. gangetica (Oct 2020)</t>
        </r>
      </text>
    </comment>
    <comment ref="I2424" authorId="1344" shapeId="0" xr:uid="{00000000-0006-0000-0000-0000C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ca. 40</t>
        </r>
      </text>
    </comment>
    <comment ref="J2424" authorId="1345" shapeId="0" xr:uid="{00000000-0006-0000-0000-0000CD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N. gangetica (Oct 2020)</t>
        </r>
      </text>
    </comment>
    <comment ref="J2426" authorId="1346" shapeId="0" xr:uid="{00000000-0006-0000-0000-0000CE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datasets using N. gangetica from Rom Whitaker, pers. communication</t>
        </r>
      </text>
    </comment>
    <comment ref="L2426" authorId="1347" shapeId="0" xr:uid="{00000000-0006-0000-0000-0000C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3-28 by taking median</t>
        </r>
      </text>
    </comment>
    <comment ref="P2426" authorId="10" shapeId="0" xr:uid="{00000000-0006-0000-0000-0000D00A0000}">
      <text>
        <r>
          <rPr>
            <b/>
            <sz val="9"/>
            <color indexed="81"/>
            <rFont val="Arial"/>
            <family val="2"/>
          </rPr>
          <t>John Iverson:</t>
        </r>
        <r>
          <rPr>
            <sz val="9"/>
            <color indexed="81"/>
            <rFont val="Arial"/>
            <family val="2"/>
          </rPr>
          <t xml:space="preserve">
estimated from our egg data set for Apalone mutica</t>
        </r>
      </text>
    </comment>
    <comment ref="K2427" authorId="1348" shapeId="0" xr:uid="{00000000-0006-0000-0000-0000D1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5-6 reported</t>
        </r>
      </text>
    </comment>
    <comment ref="G2430" authorId="10" shapeId="0" xr:uid="{00000000-0006-0000-0000-0000D20A0000}">
      <text>
        <r>
          <rPr>
            <b/>
            <sz val="9"/>
            <color indexed="81"/>
            <rFont val="Arial"/>
            <family val="2"/>
          </rPr>
          <t>John Iverson:</t>
        </r>
        <r>
          <rPr>
            <sz val="9"/>
            <color indexed="81"/>
            <rFont val="Arial"/>
            <family val="2"/>
          </rPr>
          <t xml:space="preserve">
east coast of peninsular Malaysia
estimated ca. 5</t>
        </r>
      </text>
    </comment>
    <comment ref="L2430" authorId="7" shapeId="0" xr:uid="{00000000-0006-0000-0000-0000D30A0000}">
      <text>
        <r>
          <rPr>
            <b/>
            <sz val="9"/>
            <color indexed="81"/>
            <rFont val="Tahoma"/>
            <family val="2"/>
          </rPr>
          <t>JEnnen:</t>
        </r>
        <r>
          <rPr>
            <sz val="9"/>
            <color indexed="81"/>
            <rFont val="Tahoma"/>
            <family val="2"/>
          </rPr>
          <t xml:space="preserve">
24-28</t>
        </r>
      </text>
    </comment>
    <comment ref="P2430" authorId="10" shapeId="0" xr:uid="{00000000-0006-0000-0000-0000D40A0000}">
      <text>
        <r>
          <rPr>
            <b/>
            <sz val="9"/>
            <color indexed="81"/>
            <rFont val="Arial"/>
            <family val="2"/>
          </rPr>
          <t>John Iverson:</t>
        </r>
        <r>
          <rPr>
            <sz val="9"/>
            <color indexed="81"/>
            <rFont val="Arial"/>
            <family val="2"/>
          </rPr>
          <t xml:space="preserve">
estimated from our egg data set from Lissemys punctata</t>
        </r>
      </text>
    </comment>
    <comment ref="L2431" authorId="10" shapeId="0" xr:uid="{00000000-0006-0000-0000-0000D50A0000}">
      <text>
        <r>
          <rPr>
            <b/>
            <sz val="9"/>
            <color indexed="81"/>
            <rFont val="Arial"/>
            <family val="2"/>
          </rPr>
          <t>John Iverson:</t>
        </r>
        <r>
          <rPr>
            <sz val="9"/>
            <color indexed="81"/>
            <rFont val="Arial"/>
            <family val="2"/>
          </rPr>
          <t xml:space="preserve">
Mean of max and min:32 and 55.</t>
        </r>
      </text>
    </comment>
    <comment ref="T2431" authorId="10" shapeId="0" xr:uid="{00000000-0006-0000-0000-0000D60A0000}">
      <text>
        <r>
          <rPr>
            <b/>
            <sz val="9"/>
            <color indexed="81"/>
            <rFont val="Arial"/>
            <family val="2"/>
          </rPr>
          <t>John Iverson:</t>
        </r>
        <r>
          <rPr>
            <sz val="9"/>
            <color indexed="81"/>
            <rFont val="Arial"/>
            <family val="2"/>
          </rPr>
          <t xml:space="preserve">
"4-6"</t>
        </r>
      </text>
    </comment>
    <comment ref="G2435" authorId="10" shapeId="0" xr:uid="{00000000-0006-0000-0000-0000D70A0000}">
      <text>
        <r>
          <rPr>
            <b/>
            <sz val="9"/>
            <color indexed="81"/>
            <rFont val="Arial"/>
            <family val="2"/>
          </rPr>
          <t>John Iverson:</t>
        </r>
        <r>
          <rPr>
            <sz val="9"/>
            <color indexed="81"/>
            <rFont val="Arial"/>
            <family val="2"/>
          </rPr>
          <t xml:space="preserve">
estimated</t>
        </r>
      </text>
    </comment>
    <comment ref="J2435" authorId="10" shapeId="0" xr:uid="{00000000-0006-0000-0000-0000D80A0000}">
      <text>
        <r>
          <rPr>
            <b/>
            <sz val="9"/>
            <color indexed="81"/>
            <rFont val="Arial"/>
            <family val="2"/>
          </rPr>
          <t>John Iverson:</t>
        </r>
        <r>
          <rPr>
            <sz val="9"/>
            <color indexed="81"/>
            <rFont val="Arial"/>
            <family val="2"/>
          </rPr>
          <t xml:space="preserve">
estimated from our BM-CL data for P. sinensis</t>
        </r>
      </text>
    </comment>
    <comment ref="L2435" authorId="10" shapeId="0" xr:uid="{00000000-0006-0000-0000-0000D90A0000}">
      <text>
        <r>
          <rPr>
            <b/>
            <sz val="9"/>
            <color indexed="81"/>
            <rFont val="Arial"/>
            <family val="2"/>
          </rPr>
          <t>John Iverson:</t>
        </r>
        <r>
          <rPr>
            <sz val="9"/>
            <color indexed="81"/>
            <rFont val="Arial"/>
            <family val="2"/>
          </rPr>
          <t xml:space="preserve">
2-11</t>
        </r>
      </text>
    </comment>
    <comment ref="P2437" authorId="1349" shapeId="0" xr:uid="{00000000-0006-0000-0000-0000D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datasheet</t>
        </r>
      </text>
    </comment>
    <comment ref="I2438" authorId="10" shapeId="0" xr:uid="{00000000-0006-0000-0000-0000DB0A0000}">
      <text>
        <r>
          <rPr>
            <b/>
            <sz val="9"/>
            <color indexed="81"/>
            <rFont val="Arial"/>
            <family val="2"/>
          </rPr>
          <t>John Iverson:</t>
        </r>
        <r>
          <rPr>
            <sz val="9"/>
            <color indexed="81"/>
            <rFont val="Arial"/>
            <family val="2"/>
          </rPr>
          <t xml:space="preserve">
estimated from our BM-CL data from P. sinensis</t>
        </r>
      </text>
    </comment>
    <comment ref="K2439" authorId="1350" shapeId="0" xr:uid="{00000000-0006-0000-0000-0000DC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6-7 years reported</t>
        </r>
      </text>
    </comment>
    <comment ref="D2441" authorId="10" shapeId="0" xr:uid="{00000000-0006-0000-0000-0000DD0A0000}">
      <text>
        <r>
          <rPr>
            <b/>
            <sz val="9"/>
            <color indexed="81"/>
            <rFont val="Arial"/>
            <family val="2"/>
          </rPr>
          <t>John Iverson:</t>
        </r>
        <r>
          <rPr>
            <sz val="9"/>
            <color indexed="81"/>
            <rFont val="Arial"/>
            <family val="2"/>
          </rPr>
          <t xml:space="preserve">
All sinensis entries have suspect identifications</t>
        </r>
      </text>
    </comment>
    <comment ref="G2441" authorId="1351" shapeId="0" xr:uid="{00000000-0006-0000-0000-0000DE0A0000}">
      <text>
        <r>
          <rPr>
            <sz val="10"/>
            <color rgb="FF000000"/>
            <rFont val="Arial"/>
            <family val="2"/>
          </rPr>
          <t xml:space="preserve">
Comment:
    estimated ca. 29</t>
        </r>
      </text>
    </comment>
    <comment ref="N2441" authorId="11" shapeId="0" xr:uid="{00000000-0006-0000-0000-0000DF0A0000}">
      <text>
        <r>
          <rPr>
            <b/>
            <sz val="9"/>
            <color indexed="81"/>
            <rFont val="Tahoma"/>
            <family val="2"/>
          </rPr>
          <t>TNACI:</t>
        </r>
        <r>
          <rPr>
            <sz val="9"/>
            <color indexed="81"/>
            <rFont val="Tahoma"/>
            <family val="2"/>
          </rPr>
          <t xml:space="preserve">
estimated from y = 0.7446x - 10.507 Iverson unpublished data</t>
        </r>
      </text>
    </comment>
    <comment ref="O2441" authorId="11" shapeId="0" xr:uid="{00000000-0006-0000-0000-0000E00A0000}">
      <text>
        <r>
          <rPr>
            <b/>
            <sz val="9"/>
            <color indexed="81"/>
            <rFont val="Tahoma"/>
            <family val="2"/>
          </rPr>
          <t>TNACI:</t>
        </r>
        <r>
          <rPr>
            <sz val="9"/>
            <color indexed="81"/>
            <rFont val="Tahoma"/>
            <family val="2"/>
          </rPr>
          <t xml:space="preserve">
estimated from y = 0.7659x - 10.411 Iverson unpublished data</t>
        </r>
      </text>
    </comment>
    <comment ref="N2442" authorId="11" shapeId="0" xr:uid="{00000000-0006-0000-0000-0000E10A0000}">
      <text>
        <r>
          <rPr>
            <b/>
            <sz val="9"/>
            <color indexed="81"/>
            <rFont val="Tahoma"/>
            <family val="2"/>
          </rPr>
          <t>TNACI:</t>
        </r>
        <r>
          <rPr>
            <sz val="9"/>
            <color indexed="81"/>
            <rFont val="Tahoma"/>
            <family val="2"/>
          </rPr>
          <t xml:space="preserve">
estimated from y = 0.7446x - 10.507 Iverson unpublished data</t>
        </r>
      </text>
    </comment>
    <comment ref="O2442" authorId="11" shapeId="0" xr:uid="{00000000-0006-0000-0000-0000E20A0000}">
      <text>
        <r>
          <rPr>
            <b/>
            <sz val="9"/>
            <color indexed="81"/>
            <rFont val="Tahoma"/>
            <family val="2"/>
          </rPr>
          <t>TNACI:</t>
        </r>
        <r>
          <rPr>
            <sz val="9"/>
            <color indexed="81"/>
            <rFont val="Tahoma"/>
            <family val="2"/>
          </rPr>
          <t xml:space="preserve">
estimated from y = 0.7659x - 10.411 Iverson unpublished data</t>
        </r>
      </text>
    </comment>
    <comment ref="G2444" authorId="1352" shapeId="0" xr:uid="{00000000-0006-0000-0000-0000E30A0000}">
      <text>
        <r>
          <rPr>
            <sz val="10"/>
            <color rgb="FF000000"/>
            <rFont val="Arial"/>
            <family val="2"/>
          </rPr>
          <t xml:space="preserve">
Comment:
    estimated ca. 29</t>
        </r>
      </text>
    </comment>
    <comment ref="N2444" authorId="11" shapeId="0" xr:uid="{00000000-0006-0000-0000-0000E40A0000}">
      <text>
        <r>
          <rPr>
            <b/>
            <sz val="9"/>
            <color indexed="81"/>
            <rFont val="Tahoma"/>
            <family val="2"/>
          </rPr>
          <t>TNACI:</t>
        </r>
        <r>
          <rPr>
            <sz val="9"/>
            <color indexed="81"/>
            <rFont val="Tahoma"/>
            <family val="2"/>
          </rPr>
          <t xml:space="preserve">
estimated from y = 0.7446x - 10.507 Iverson unpublished data</t>
        </r>
      </text>
    </comment>
    <comment ref="O2444" authorId="11" shapeId="0" xr:uid="{00000000-0006-0000-0000-0000E50A0000}">
      <text>
        <r>
          <rPr>
            <b/>
            <sz val="9"/>
            <color indexed="81"/>
            <rFont val="Tahoma"/>
            <family val="2"/>
          </rPr>
          <t>TNACI:</t>
        </r>
        <r>
          <rPr>
            <sz val="9"/>
            <color indexed="81"/>
            <rFont val="Tahoma"/>
            <family val="2"/>
          </rPr>
          <t xml:space="preserve">
estimated from y = 0.7659x - 10.411 Iverson unpublished data</t>
        </r>
      </text>
    </comment>
    <comment ref="K2445" authorId="1353" shapeId="0" xr:uid="{00000000-0006-0000-0000-0000E6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5-6 report</t>
        </r>
      </text>
    </comment>
    <comment ref="N2445" authorId="1354" shapeId="0" xr:uid="{00000000-0006-0000-0000-0000E7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18-21 by taking median</t>
        </r>
      </text>
    </comment>
    <comment ref="O2445" authorId="1355" shapeId="0" xr:uid="{00000000-0006-0000-0000-0000E8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18-21 by taking median</t>
        </r>
      </text>
    </comment>
    <comment ref="T2445" authorId="7" shapeId="0" xr:uid="{00000000-0006-0000-0000-0000E90A0000}">
      <text>
        <r>
          <rPr>
            <b/>
            <sz val="9"/>
            <color indexed="81"/>
            <rFont val="Tahoma"/>
            <family val="2"/>
          </rPr>
          <t>JEnnen:</t>
        </r>
        <r>
          <rPr>
            <sz val="9"/>
            <color indexed="81"/>
            <rFont val="Tahoma"/>
            <family val="2"/>
          </rPr>
          <t xml:space="preserve">
2-4 reported</t>
        </r>
      </text>
    </comment>
    <comment ref="N2446" authorId="11" shapeId="0" xr:uid="{00000000-0006-0000-0000-0000EA0A0000}">
      <text>
        <r>
          <rPr>
            <b/>
            <sz val="9"/>
            <color indexed="81"/>
            <rFont val="Tahoma"/>
            <family val="2"/>
          </rPr>
          <t>TNACI:</t>
        </r>
        <r>
          <rPr>
            <sz val="9"/>
            <color indexed="81"/>
            <rFont val="Tahoma"/>
            <family val="2"/>
          </rPr>
          <t xml:space="preserve">
estimated from y = 0.7446x - 10.507 Iverson unpublished data</t>
        </r>
      </text>
    </comment>
    <comment ref="O2446" authorId="11" shapeId="0" xr:uid="{00000000-0006-0000-0000-0000EB0A0000}">
      <text>
        <r>
          <rPr>
            <b/>
            <sz val="9"/>
            <color indexed="81"/>
            <rFont val="Tahoma"/>
            <family val="2"/>
          </rPr>
          <t>TNACI:</t>
        </r>
        <r>
          <rPr>
            <sz val="9"/>
            <color indexed="81"/>
            <rFont val="Tahoma"/>
            <family val="2"/>
          </rPr>
          <t xml:space="preserve">
estimated from y = 0.7659x - 10.411 Iverson unpublished data</t>
        </r>
      </text>
    </comment>
    <comment ref="D2447" authorId="10" shapeId="0" xr:uid="{00000000-0006-0000-0000-0000EC0A0000}">
      <text>
        <r>
          <rPr>
            <b/>
            <sz val="9"/>
            <color indexed="81"/>
            <rFont val="Arial"/>
            <family val="2"/>
          </rPr>
          <t>John Iverson:</t>
        </r>
        <r>
          <rPr>
            <sz val="9"/>
            <color indexed="81"/>
            <rFont val="Arial"/>
            <family val="2"/>
          </rPr>
          <t xml:space="preserve">
species uncertain</t>
        </r>
      </text>
    </comment>
    <comment ref="P2447" authorId="10" shapeId="0" xr:uid="{00000000-0006-0000-0000-0000ED0A0000}">
      <text>
        <r>
          <rPr>
            <b/>
            <sz val="9"/>
            <color indexed="81"/>
            <rFont val="Arial"/>
            <family val="2"/>
          </rPr>
          <t>John Iverson:</t>
        </r>
        <r>
          <rPr>
            <sz val="9"/>
            <color indexed="81"/>
            <rFont val="Arial"/>
            <family val="2"/>
          </rPr>
          <t xml:space="preserve">
estimated from our egg data set for Apalone mutica</t>
        </r>
      </text>
    </comment>
    <comment ref="J2448" authorId="1356" shapeId="0" xr:uid="{00000000-0006-0000-0000-0000EE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BM-CL regression database using Lissemys punctata from Yadava and Prasad 1982 (Sept 2020)</t>
        </r>
      </text>
    </comment>
    <comment ref="P2448" authorId="1357" shapeId="0" xr:uid="{00000000-0006-0000-0000-0000E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regression database using P. sinensis (Sept 2020)</t>
        </r>
      </text>
    </comment>
    <comment ref="T2448" authorId="7" shapeId="0" xr:uid="{00000000-0006-0000-0000-0000F00A0000}">
      <text>
        <r>
          <rPr>
            <b/>
            <sz val="9"/>
            <color indexed="81"/>
            <rFont val="Tahoma"/>
            <family val="2"/>
          </rPr>
          <t>JEnnen:</t>
        </r>
        <r>
          <rPr>
            <sz val="9"/>
            <color indexed="81"/>
            <rFont val="Tahoma"/>
            <family val="2"/>
          </rPr>
          <t xml:space="preserve">
3-5 reported</t>
        </r>
      </text>
    </comment>
    <comment ref="K2449" authorId="7" shapeId="0" xr:uid="{00000000-0006-0000-0000-0000F10A0000}">
      <text>
        <r>
          <rPr>
            <b/>
            <sz val="9"/>
            <color indexed="81"/>
            <rFont val="Tahoma"/>
            <family val="2"/>
          </rPr>
          <t>JEnnen:</t>
        </r>
        <r>
          <rPr>
            <sz val="9"/>
            <color indexed="81"/>
            <rFont val="Tahoma"/>
            <family val="2"/>
          </rPr>
          <t xml:space="preserve">
6-8 reported</t>
        </r>
      </text>
    </comment>
    <comment ref="L2449" authorId="7" shapeId="0" xr:uid="{00000000-0006-0000-0000-0000F20A0000}">
      <text>
        <r>
          <rPr>
            <b/>
            <sz val="9"/>
            <color indexed="81"/>
            <rFont val="Tahoma"/>
            <family val="2"/>
          </rPr>
          <t>JEnnen:</t>
        </r>
        <r>
          <rPr>
            <sz val="9"/>
            <color indexed="81"/>
            <rFont val="Tahoma"/>
            <family val="2"/>
          </rPr>
          <t xml:space="preserve">
17-28</t>
        </r>
      </text>
    </comment>
    <comment ref="N2449" authorId="1358" shapeId="0" xr:uid="{00000000-0006-0000-0000-0000F3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"20"</t>
        </r>
      </text>
    </comment>
    <comment ref="O2449" authorId="1359" shapeId="0" xr:uid="{00000000-0006-0000-0000-0000F4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"20"</t>
        </r>
      </text>
    </comment>
    <comment ref="T2449" authorId="7" shapeId="0" xr:uid="{00000000-0006-0000-0000-0000F50A0000}">
      <text>
        <r>
          <rPr>
            <b/>
            <sz val="9"/>
            <color indexed="81"/>
            <rFont val="Tahoma"/>
            <family val="2"/>
          </rPr>
          <t>JEnnen:</t>
        </r>
        <r>
          <rPr>
            <sz val="9"/>
            <color indexed="81"/>
            <rFont val="Tahoma"/>
            <family val="2"/>
          </rPr>
          <t xml:space="preserve">
2-4 reported</t>
        </r>
      </text>
    </comment>
    <comment ref="N2451" authorId="11" shapeId="0" xr:uid="{00000000-0006-0000-0000-0000F60A0000}">
      <text>
        <r>
          <rPr>
            <b/>
            <sz val="9"/>
            <color indexed="81"/>
            <rFont val="Tahoma"/>
            <family val="2"/>
          </rPr>
          <t>TNACI:</t>
        </r>
        <r>
          <rPr>
            <sz val="9"/>
            <color indexed="81"/>
            <rFont val="Tahoma"/>
            <family val="2"/>
          </rPr>
          <t xml:space="preserve">
estimated from y = 0.7446x - 10.507 Iverson unpublished data</t>
        </r>
      </text>
    </comment>
    <comment ref="O2451" authorId="11" shapeId="0" xr:uid="{00000000-0006-0000-0000-0000F70A0000}">
      <text>
        <r>
          <rPr>
            <b/>
            <sz val="9"/>
            <color indexed="81"/>
            <rFont val="Tahoma"/>
            <family val="2"/>
          </rPr>
          <t>TNACI:</t>
        </r>
        <r>
          <rPr>
            <sz val="9"/>
            <color indexed="81"/>
            <rFont val="Tahoma"/>
            <family val="2"/>
          </rPr>
          <t xml:space="preserve">
estimated from y = 0.7659x - 10.411 Iverson unpublished data</t>
        </r>
      </text>
    </comment>
    <comment ref="D2452" authorId="10" shapeId="0" xr:uid="{00000000-0006-0000-0000-0000F80A0000}">
      <text>
        <r>
          <rPr>
            <b/>
            <sz val="9"/>
            <color indexed="81"/>
            <rFont val="Arial"/>
            <family val="2"/>
          </rPr>
          <t>John Iverson:</t>
        </r>
        <r>
          <rPr>
            <sz val="9"/>
            <color indexed="81"/>
            <rFont val="Arial"/>
            <family val="2"/>
          </rPr>
          <t xml:space="preserve">
composite taxon</t>
        </r>
      </text>
    </comment>
    <comment ref="K2452" authorId="7" shapeId="0" xr:uid="{00000000-0006-0000-0000-0000F90A0000}">
      <text>
        <r>
          <rPr>
            <b/>
            <sz val="9"/>
            <color indexed="81"/>
            <rFont val="Tahoma"/>
            <family val="2"/>
          </rPr>
          <t>JEnnen:</t>
        </r>
        <r>
          <rPr>
            <sz val="9"/>
            <color indexed="81"/>
            <rFont val="Tahoma"/>
            <family val="2"/>
          </rPr>
          <t xml:space="preserve">
6-7 reported</t>
        </r>
      </text>
    </comment>
    <comment ref="O2452" authorId="1360" shapeId="0" xr:uid="{00000000-0006-0000-0000-0000FA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19.5-21 by taking median</t>
        </r>
      </text>
    </comment>
    <comment ref="T2452" authorId="7" shapeId="0" xr:uid="{00000000-0006-0000-0000-0000FB0A0000}">
      <text>
        <r>
          <rPr>
            <b/>
            <sz val="9"/>
            <color indexed="81"/>
            <rFont val="Tahoma"/>
            <family val="2"/>
          </rPr>
          <t>JEnnen:</t>
        </r>
        <r>
          <rPr>
            <sz val="9"/>
            <color indexed="81"/>
            <rFont val="Tahoma"/>
            <family val="2"/>
          </rPr>
          <t xml:space="preserve">
2-3 reported</t>
        </r>
      </text>
    </comment>
    <comment ref="N2453" authorId="11" shapeId="0" xr:uid="{00000000-0006-0000-0000-0000FC0A0000}">
      <text>
        <r>
          <rPr>
            <b/>
            <sz val="9"/>
            <color indexed="81"/>
            <rFont val="Tahoma"/>
            <family val="2"/>
          </rPr>
          <t>TNACI:</t>
        </r>
        <r>
          <rPr>
            <sz val="9"/>
            <color indexed="81"/>
            <rFont val="Tahoma"/>
            <family val="2"/>
          </rPr>
          <t xml:space="preserve">
estimated from y = 0.7446x - 10.507 Iverson unpublished data</t>
        </r>
      </text>
    </comment>
    <comment ref="O2453" authorId="11" shapeId="0" xr:uid="{00000000-0006-0000-0000-0000FD0A0000}">
      <text>
        <r>
          <rPr>
            <b/>
            <sz val="9"/>
            <color indexed="81"/>
            <rFont val="Tahoma"/>
            <family val="2"/>
          </rPr>
          <t>TNACI:</t>
        </r>
        <r>
          <rPr>
            <sz val="9"/>
            <color indexed="81"/>
            <rFont val="Tahoma"/>
            <family val="2"/>
          </rPr>
          <t xml:space="preserve">
estimated from y = 0.7659x - 10.411 Iverson unpublished data</t>
        </r>
      </text>
    </comment>
    <comment ref="G2457" authorId="1361" shapeId="0" xr:uid="{00000000-0006-0000-0000-0000FE0A0000}">
      <text>
        <r>
          <rPr>
            <sz val="10"/>
            <color rgb="FF000000"/>
            <rFont val="Arial"/>
            <family val="2"/>
          </rPr>
          <t xml:space="preserve">
Comment:
    estimated ca. 37</t>
        </r>
      </text>
    </comment>
    <comment ref="P2459" authorId="1362" shapeId="0" xr:uid="{00000000-0006-0000-0000-0000FF0A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datasheet using Apalone spinifera</t>
        </r>
      </text>
    </comment>
    <comment ref="P2460" authorId="1363" shapeId="0" xr:uid="{00000000-0006-0000-0000-0000000B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estiamted from our egg datasheet using Apalone spinifera</t>
        </r>
      </text>
    </comment>
    <comment ref="J2461" authorId="7" shapeId="0" xr:uid="{00000000-0006-0000-0000-0000010B0000}">
      <text>
        <r>
          <rPr>
            <b/>
            <sz val="9"/>
            <color indexed="81"/>
            <rFont val="Tahoma"/>
            <family val="2"/>
          </rPr>
          <t>JEnnen:</t>
        </r>
        <r>
          <rPr>
            <sz val="9"/>
            <color indexed="81"/>
            <rFont val="Tahoma"/>
            <family val="2"/>
          </rPr>
          <t xml:space="preserve">
estimated from the BM-CL regression database using T. triunguis from Gramentz 2005 (Nov 2020)</t>
        </r>
      </text>
    </comment>
    <comment ref="L2461" authorId="7" shapeId="0" xr:uid="{00000000-0006-0000-0000-0000020B0000}">
      <text>
        <r>
          <rPr>
            <b/>
            <sz val="9"/>
            <color indexed="81"/>
            <rFont val="Tahoma"/>
            <family val="2"/>
          </rPr>
          <t>JEnnen:</t>
        </r>
        <r>
          <rPr>
            <sz val="9"/>
            <color indexed="81"/>
            <rFont val="Tahoma"/>
            <family val="2"/>
          </rPr>
          <t xml:space="preserve">
mean of 4</t>
        </r>
      </text>
    </comment>
    <comment ref="P2461" authorId="1364" shapeId="0" xr:uid="{00000000-0006-0000-0000-0000030B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authors report a range of 33-35g, which has to be incorrect. We estimated EM from our egg database using data from A. ferox.</t>
        </r>
      </text>
    </comment>
    <comment ref="J2462" authorId="1365" shapeId="0" xr:uid="{00000000-0006-0000-0000-0000040B0000}">
      <text>
        <r>
          <rPr>
            <sz val="10"/>
            <color rgb="FF000000"/>
            <rFont val="Arial"/>
            <family val="2"/>
          </rPr>
          <t xml:space="preserve">
Comment:
    estimated from BM-CL regression database using Gramentz 2005</t>
        </r>
      </text>
    </comment>
    <comment ref="L2462" authorId="1366" shapeId="0" xr:uid="{00000000-0006-0000-0000-0000050B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8-34 by taking median</t>
        </r>
      </text>
    </comment>
    <comment ref="P2462" authorId="1367" shapeId="0" xr:uid="{00000000-0006-0000-0000-0000060B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using Nilssonia gangeticus</t>
        </r>
      </text>
    </comment>
    <comment ref="P2464" authorId="1368" shapeId="0" xr:uid="{00000000-0006-0000-0000-0000070B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estimated from our egg dataset using Nilssonia gangeticus</t>
        </r>
      </text>
    </comment>
    <comment ref="O2466" authorId="10" shapeId="0" xr:uid="{00000000-0006-0000-0000-0000080B0000}">
      <text>
        <r>
          <rPr>
            <b/>
            <sz val="9"/>
            <color indexed="81"/>
            <rFont val="Arial"/>
            <family val="2"/>
          </rPr>
          <t>John Iverson:</t>
        </r>
        <r>
          <rPr>
            <sz val="9"/>
            <color indexed="81"/>
            <rFont val="Arial"/>
            <family val="2"/>
          </rPr>
          <t xml:space="preserve">
diameter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Iverson</author>
  </authors>
  <commentList>
    <comment ref="H1" authorId="0" shapeId="0" xr:uid="{00000000-0006-0000-0100-000001000000}">
      <text>
        <r>
          <rPr>
            <b/>
            <sz val="9"/>
            <color indexed="81"/>
            <rFont val="Calibri"/>
            <family val="2"/>
          </rPr>
          <t>John Iverson:</t>
        </r>
        <r>
          <rPr>
            <sz val="9"/>
            <color indexed="81"/>
            <rFont val="Calibri"/>
            <family val="2"/>
          </rPr>
          <t xml:space="preserve">
e.g. skeletonochronology</t>
        </r>
      </text>
    </comment>
    <comment ref="F16" authorId="0" shapeId="0" xr:uid="{00000000-0006-0000-0100-000002000000}">
      <text>
        <r>
          <rPr>
            <b/>
            <sz val="9"/>
            <color indexed="81"/>
            <rFont val="Calibri"/>
            <family val="2"/>
          </rPr>
          <t>John Iverson:</t>
        </r>
        <r>
          <rPr>
            <sz val="9"/>
            <color indexed="81"/>
            <rFont val="Calibri"/>
            <family val="2"/>
          </rPr>
          <t xml:space="preserve">
as an adult</t>
        </r>
      </text>
    </comment>
    <comment ref="F45" authorId="0" shapeId="0" xr:uid="{00000000-0006-0000-0100-000003000000}">
      <text>
        <r>
          <rPr>
            <b/>
            <sz val="9"/>
            <color indexed="81"/>
            <rFont val="Calibri"/>
            <family val="2"/>
          </rPr>
          <t>John Iverson:</t>
        </r>
        <r>
          <rPr>
            <sz val="9"/>
            <color indexed="81"/>
            <rFont val="Calibri"/>
            <family val="2"/>
          </rPr>
          <t xml:space="preserve">
Captured as adult</t>
        </r>
      </text>
    </comment>
    <comment ref="H55" authorId="0" shapeId="0" xr:uid="{00000000-0006-0000-0100-000004000000}">
      <text>
        <r>
          <rPr>
            <b/>
            <sz val="9"/>
            <color indexed="81"/>
            <rFont val="Calibri"/>
            <family val="2"/>
          </rPr>
          <t>John Iverson:</t>
        </r>
        <r>
          <rPr>
            <sz val="9"/>
            <color indexed="81"/>
            <rFont val="Calibri"/>
            <family val="2"/>
          </rPr>
          <t xml:space="preserve">
Based on growth curves</t>
        </r>
      </text>
    </comment>
    <comment ref="H56" authorId="0" shapeId="0" xr:uid="{00000000-0006-0000-0100-000005000000}">
      <text>
        <r>
          <rPr>
            <b/>
            <sz val="9"/>
            <color indexed="81"/>
            <rFont val="Calibri"/>
            <family val="2"/>
          </rPr>
          <t>John Iverson:</t>
        </r>
        <r>
          <rPr>
            <sz val="9"/>
            <color indexed="81"/>
            <rFont val="Calibri"/>
            <family val="2"/>
          </rPr>
          <t xml:space="preserve">
based on growth curves</t>
        </r>
      </text>
    </comment>
    <comment ref="D68" authorId="0" shapeId="0" xr:uid="{00000000-0006-0000-0100-000006000000}">
      <text>
        <r>
          <rPr>
            <b/>
            <sz val="9"/>
            <color indexed="81"/>
            <rFont val="Calibri"/>
            <family val="2"/>
          </rPr>
          <t>John Iverson:</t>
        </r>
        <r>
          <rPr>
            <sz val="9"/>
            <color indexed="81"/>
            <rFont val="Calibri"/>
            <family val="2"/>
          </rPr>
          <t xml:space="preserve">
as an adult</t>
        </r>
      </text>
    </comment>
    <comment ref="H68" authorId="0" shapeId="0" xr:uid="{00000000-0006-0000-0100-000007000000}">
      <text>
        <r>
          <rPr>
            <b/>
            <sz val="9"/>
            <color indexed="81"/>
            <rFont val="Calibri"/>
            <family val="2"/>
          </rPr>
          <t>John Iverson:</t>
        </r>
        <r>
          <rPr>
            <sz val="9"/>
            <color indexed="81"/>
            <rFont val="Calibri"/>
            <family val="2"/>
          </rPr>
          <t xml:space="preserve">
just to age at maturity based on growth rate</t>
        </r>
      </text>
    </comment>
    <comment ref="H69" authorId="0" shapeId="0" xr:uid="{00000000-0006-0000-0100-000008000000}">
      <text>
        <r>
          <rPr>
            <b/>
            <sz val="9"/>
            <color indexed="81"/>
            <rFont val="Calibri"/>
            <family val="2"/>
          </rPr>
          <t>John Iverson:</t>
        </r>
        <r>
          <rPr>
            <sz val="9"/>
            <color indexed="81"/>
            <rFont val="Calibri"/>
            <family val="2"/>
          </rPr>
          <t xml:space="preserve">
skeletochronology</t>
        </r>
      </text>
    </comment>
    <comment ref="D71" authorId="0" shapeId="0" xr:uid="{00000000-0006-0000-0100-000009000000}">
      <text>
        <r>
          <rPr>
            <b/>
            <sz val="9"/>
            <color indexed="81"/>
            <rFont val="Calibri"/>
            <family val="2"/>
          </rPr>
          <t>John Iverson:</t>
        </r>
        <r>
          <rPr>
            <sz val="9"/>
            <color indexed="81"/>
            <rFont val="Calibri"/>
            <family val="2"/>
          </rPr>
          <t xml:space="preserve">
as an adult</t>
        </r>
      </text>
    </comment>
    <comment ref="D76" authorId="0" shapeId="0" xr:uid="{00000000-0006-0000-0100-00000A000000}">
      <text>
        <r>
          <rPr>
            <b/>
            <sz val="9"/>
            <color indexed="81"/>
            <rFont val="Calibri"/>
            <family val="2"/>
          </rPr>
          <t>John Iverson:</t>
        </r>
        <r>
          <rPr>
            <sz val="9"/>
            <color indexed="81"/>
            <rFont val="Calibri"/>
            <family val="2"/>
          </rPr>
          <t xml:space="preserve">
58, Keevil et al. 2018 (recap 41 yrs plus 17 to maturity fide Congdon et al. 2013)</t>
        </r>
      </text>
    </comment>
    <comment ref="F79" authorId="0" shapeId="0" xr:uid="{00000000-0006-0000-0100-00000B000000}">
      <text>
        <r>
          <rPr>
            <b/>
            <sz val="9"/>
            <color indexed="81"/>
            <rFont val="Calibri"/>
            <family val="2"/>
          </rPr>
          <t>John Iverson:</t>
        </r>
        <r>
          <rPr>
            <sz val="9"/>
            <color indexed="81"/>
            <rFont val="Calibri"/>
            <family val="2"/>
          </rPr>
          <t xml:space="preserve">
35.7 as an adult</t>
        </r>
      </text>
    </comment>
    <comment ref="D80" authorId="0" shapeId="0" xr:uid="{00000000-0006-0000-0100-00000C000000}">
      <text>
        <r>
          <rPr>
            <b/>
            <sz val="9"/>
            <color indexed="81"/>
            <rFont val="Calibri"/>
            <family val="2"/>
          </rPr>
          <t>John Iverson:</t>
        </r>
        <r>
          <rPr>
            <sz val="9"/>
            <color indexed="81"/>
            <rFont val="Calibri"/>
            <family val="2"/>
          </rPr>
          <t xml:space="preserve">
age at maturity = 14-50 yrs; Girondot et al. 2021; 31 is an an adult
</t>
        </r>
      </text>
    </comment>
    <comment ref="H85" authorId="0" shapeId="0" xr:uid="{00000000-0006-0000-0100-00000D000000}">
      <text>
        <r>
          <rPr>
            <b/>
            <sz val="9"/>
            <color indexed="81"/>
            <rFont val="Calibri"/>
            <family val="2"/>
          </rPr>
          <t>John Iverson:</t>
        </r>
        <r>
          <rPr>
            <sz val="9"/>
            <color indexed="81"/>
            <rFont val="Calibri"/>
            <family val="2"/>
          </rPr>
          <t xml:space="preserve">
Based on demographic models</t>
        </r>
      </text>
    </comment>
    <comment ref="D88" authorId="0" shapeId="0" xr:uid="{00000000-0006-0000-0100-00000E000000}">
      <text>
        <r>
          <rPr>
            <b/>
            <sz val="9"/>
            <color indexed="81"/>
            <rFont val="Calibri"/>
            <family val="2"/>
          </rPr>
          <t>John Iverson:</t>
        </r>
        <r>
          <rPr>
            <sz val="9"/>
            <color indexed="81"/>
            <rFont val="Calibri"/>
            <family val="2"/>
          </rPr>
          <t xml:space="preserve">
based on engraved turtles and estimated age at first capture</t>
        </r>
      </text>
    </comment>
    <comment ref="D99" authorId="0" shapeId="0" xr:uid="{00000000-0006-0000-0100-00000F000000}">
      <text>
        <r>
          <rPr>
            <b/>
            <sz val="9"/>
            <color indexed="81"/>
            <rFont val="Calibri"/>
            <family val="2"/>
          </rPr>
          <t>John Iverson:</t>
        </r>
        <r>
          <rPr>
            <sz val="9"/>
            <color indexed="81"/>
            <rFont val="Calibri"/>
            <family val="2"/>
          </rPr>
          <t xml:space="preserve">
Assumes females are ageable up to 15-18 years by annuli</t>
        </r>
      </text>
    </comment>
    <comment ref="I99" authorId="0" shapeId="0" xr:uid="{00000000-0006-0000-0100-000010000000}">
      <text>
        <r>
          <rPr>
            <b/>
            <sz val="9"/>
            <color indexed="81"/>
            <rFont val="Calibri"/>
            <family val="2"/>
          </rPr>
          <t>John Iverson:</t>
        </r>
        <r>
          <rPr>
            <sz val="9"/>
            <color indexed="81"/>
            <rFont val="Calibri"/>
            <family val="2"/>
          </rPr>
          <t xml:space="preserve">
Based on demographic models</t>
        </r>
      </text>
    </comment>
    <comment ref="H116" authorId="0" shapeId="0" xr:uid="{00000000-0006-0000-0100-000011000000}">
      <text>
        <r>
          <rPr>
            <b/>
            <sz val="9"/>
            <color indexed="81"/>
            <rFont val="Calibri"/>
            <family val="2"/>
          </rPr>
          <t>John Iverson:</t>
        </r>
        <r>
          <rPr>
            <sz val="9"/>
            <color indexed="81"/>
            <rFont val="Calibri"/>
            <family val="2"/>
          </rPr>
          <t xml:space="preserve">
based on annuli and recapture in the wild.</t>
        </r>
      </text>
    </comment>
    <comment ref="F174" authorId="0" shapeId="0" xr:uid="{00000000-0006-0000-0100-000012000000}">
      <text>
        <r>
          <rPr>
            <b/>
            <sz val="9"/>
            <color indexed="81"/>
            <rFont val="Calibri"/>
            <family val="2"/>
          </rPr>
          <t>John Iverson:</t>
        </r>
        <r>
          <rPr>
            <sz val="9"/>
            <color indexed="81"/>
            <rFont val="Calibri"/>
            <family val="2"/>
          </rPr>
          <t xml:space="preserve">
as an adult</t>
        </r>
      </text>
    </comment>
    <comment ref="F180" authorId="0" shapeId="0" xr:uid="{00000000-0006-0000-0100-000013000000}">
      <text>
        <r>
          <rPr>
            <b/>
            <sz val="9"/>
            <color indexed="81"/>
            <rFont val="Calibri"/>
            <family val="2"/>
          </rPr>
          <t>John Iverson:</t>
        </r>
        <r>
          <rPr>
            <sz val="9"/>
            <color indexed="81"/>
            <rFont val="Calibri"/>
            <family val="2"/>
          </rPr>
          <t xml:space="preserve">
probably = rivulata</t>
        </r>
      </text>
    </comment>
    <comment ref="F201" authorId="0" shapeId="0" xr:uid="{00000000-0006-0000-0100-000014000000}">
      <text>
        <r>
          <rPr>
            <b/>
            <sz val="9"/>
            <color indexed="81"/>
            <rFont val="Calibri"/>
            <family val="2"/>
          </rPr>
          <t>John Iverson:</t>
        </r>
        <r>
          <rPr>
            <sz val="9"/>
            <color indexed="81"/>
            <rFont val="Calibri"/>
            <family val="2"/>
          </rPr>
          <t xml:space="preserve">
About 30 years in cptivity but subadult on first capture</t>
        </r>
      </text>
    </comment>
    <comment ref="F217" authorId="0" shapeId="0" xr:uid="{00000000-0006-0000-0100-000015000000}">
      <text>
        <r>
          <rPr>
            <b/>
            <sz val="9"/>
            <color indexed="81"/>
            <rFont val="Calibri"/>
            <family val="2"/>
          </rPr>
          <t>John Iverson:</t>
        </r>
        <r>
          <rPr>
            <sz val="9"/>
            <color indexed="81"/>
            <rFont val="Calibri"/>
            <family val="2"/>
          </rPr>
          <t xml:space="preserve">
estimated 10 yrs old at first capture</t>
        </r>
      </text>
    </comment>
    <comment ref="G251" authorId="0" shapeId="0" xr:uid="{00000000-0006-0000-0100-000016000000}">
      <text>
        <r>
          <rPr>
            <b/>
            <sz val="9"/>
            <color indexed="81"/>
            <rFont val="Calibri"/>
            <family val="2"/>
          </rPr>
          <t>John Iverson:</t>
        </r>
        <r>
          <rPr>
            <sz val="9"/>
            <color indexed="81"/>
            <rFont val="Calibri"/>
            <family val="2"/>
          </rPr>
          <t xml:space="preserve">
Subrufa has been split up, so actual species unceetain</t>
        </r>
      </text>
    </comment>
    <comment ref="H274" authorId="0" shapeId="0" xr:uid="{00000000-0006-0000-0100-000017000000}">
      <text>
        <r>
          <rPr>
            <b/>
            <sz val="9"/>
            <color indexed="81"/>
            <rFont val="Calibri"/>
            <family val="2"/>
          </rPr>
          <t>John Iverson:</t>
        </r>
        <r>
          <rPr>
            <sz val="9"/>
            <color indexed="81"/>
            <rFont val="Calibri"/>
            <family val="2"/>
          </rPr>
          <t xml:space="preserve">
based on skeletochronology</t>
        </r>
      </text>
    </comment>
    <comment ref="F291" authorId="0" shapeId="0" xr:uid="{00000000-0006-0000-0100-000018000000}">
      <text>
        <r>
          <rPr>
            <b/>
            <sz val="9"/>
            <color indexed="81"/>
            <rFont val="Calibri"/>
            <family val="2"/>
          </rPr>
          <t>John Iverson:</t>
        </r>
        <r>
          <rPr>
            <sz val="9"/>
            <color indexed="81"/>
            <rFont val="Calibri"/>
            <family val="2"/>
          </rPr>
          <t xml:space="preserve">
captive as young and then reptriated</t>
        </r>
      </text>
    </comment>
    <comment ref="H304" authorId="0" shapeId="0" xr:uid="{00000000-0006-0000-0100-000019000000}">
      <text>
        <r>
          <rPr>
            <b/>
            <sz val="9"/>
            <color indexed="81"/>
            <rFont val="Calibri"/>
            <family val="2"/>
          </rPr>
          <t>John Iverson:</t>
        </r>
        <r>
          <rPr>
            <sz val="9"/>
            <color indexed="81"/>
            <rFont val="Calibri"/>
            <family val="2"/>
          </rPr>
          <t xml:space="preserve">
based on annuli and growth rate</t>
        </r>
      </text>
    </comment>
    <comment ref="D306" authorId="0" shapeId="0" xr:uid="{00000000-0006-0000-0100-00001A000000}">
      <text>
        <r>
          <rPr>
            <b/>
            <sz val="9"/>
            <color indexed="81"/>
            <rFont val="Calibri"/>
            <family val="2"/>
          </rPr>
          <t>John Iverson:</t>
        </r>
        <r>
          <rPr>
            <sz val="9"/>
            <color indexed="81"/>
            <rFont val="Calibri"/>
            <family val="2"/>
          </rPr>
          <t xml:space="preserve">
50 Curtin et al. 2008 and Germano 1992</t>
        </r>
      </text>
    </comment>
    <comment ref="D325" authorId="0" shapeId="0" xr:uid="{00000000-0006-0000-0100-00001B000000}">
      <text>
        <r>
          <rPr>
            <b/>
            <sz val="9"/>
            <color indexed="81"/>
            <rFont val="Calibri"/>
            <family val="2"/>
          </rPr>
          <t>John Iverson:</t>
        </r>
        <r>
          <rPr>
            <sz val="9"/>
            <color indexed="81"/>
            <rFont val="Calibri"/>
            <family val="2"/>
          </rPr>
          <t xml:space="preserve">
ca. 25–30</t>
        </r>
      </text>
    </comment>
    <comment ref="D330" authorId="0" shapeId="0" xr:uid="{00000000-0006-0000-0100-00001C000000}">
      <text>
        <r>
          <rPr>
            <b/>
            <sz val="9"/>
            <color indexed="81"/>
            <rFont val="Calibri"/>
            <family val="2"/>
          </rPr>
          <t>John Iverson:</t>
        </r>
        <r>
          <rPr>
            <sz val="9"/>
            <color indexed="81"/>
            <rFont val="Calibri"/>
            <family val="2"/>
          </rPr>
          <t xml:space="preserve">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Iverson</author>
  </authors>
  <commentList>
    <comment ref="B41" authorId="0" shapeId="0" xr:uid="{00000000-0006-0000-0300-000001000000}">
      <text>
        <r>
          <rPr>
            <b/>
            <sz val="9"/>
            <color indexed="81"/>
            <rFont val="Arial"/>
            <family val="2"/>
          </rPr>
          <t>John Iverson:</t>
        </r>
        <r>
          <rPr>
            <sz val="9"/>
            <color indexed="81"/>
            <rFont val="Arial"/>
            <family val="2"/>
          </rPr>
          <t xml:space="preserve">
Considered synonymous with M. raniceps by TTWG 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Iverson</author>
  </authors>
  <commentList>
    <comment ref="B163" authorId="0" shapeId="0" xr:uid="{00000000-0006-0000-0400-000001000000}">
      <text>
        <r>
          <rPr>
            <b/>
            <sz val="9"/>
            <color indexed="81"/>
            <rFont val="Calibri"/>
            <family val="2"/>
          </rPr>
          <t>John Iverson:</t>
        </r>
        <r>
          <rPr>
            <sz val="9"/>
            <color indexed="81"/>
            <rFont val="Calibri"/>
            <family val="2"/>
          </rPr>
          <t xml:space="preserve">
formerly belliana</t>
        </r>
      </text>
    </comment>
    <comment ref="B164" authorId="0" shapeId="0" xr:uid="{00000000-0006-0000-0400-000002000000}">
      <text>
        <r>
          <rPr>
            <b/>
            <sz val="9"/>
            <color indexed="81"/>
            <rFont val="Calibri"/>
            <family val="2"/>
          </rPr>
          <t>John Iverson:</t>
        </r>
        <r>
          <rPr>
            <sz val="9"/>
            <color indexed="81"/>
            <rFont val="Calibri"/>
            <family val="2"/>
          </rPr>
          <t xml:space="preserve">
formerly belliana</t>
        </r>
      </text>
    </comment>
    <comment ref="B194" authorId="0" shapeId="0" xr:uid="{00000000-0006-0000-0400-000003000000}">
      <text>
        <r>
          <rPr>
            <b/>
            <sz val="9"/>
            <color indexed="81"/>
            <rFont val="Calibri"/>
            <family val="2"/>
          </rPr>
          <t>John Iverson:</t>
        </r>
        <r>
          <rPr>
            <sz val="9"/>
            <color indexed="81"/>
            <rFont val="Calibri"/>
            <family val="2"/>
          </rPr>
          <t xml:space="preserve">
As oblonga - wrong name</t>
        </r>
      </text>
    </comment>
  </commentList>
</comments>
</file>

<file path=xl/sharedStrings.xml><?xml version="1.0" encoding="utf-8"?>
<sst xmlns="http://schemas.openxmlformats.org/spreadsheetml/2006/main" count="27450" uniqueCount="5443">
  <si>
    <t>Family</t>
  </si>
  <si>
    <t>Species</t>
  </si>
  <si>
    <t>Location</t>
  </si>
  <si>
    <t>Lat</t>
  </si>
  <si>
    <t>CL_cm</t>
  </si>
  <si>
    <t>Body Mass</t>
  </si>
  <si>
    <t>Age</t>
  </si>
  <si>
    <t>Clutch Size</t>
  </si>
  <si>
    <t>Egg width_mm</t>
  </si>
  <si>
    <t>Egg mass (g)</t>
  </si>
  <si>
    <t>Egg_mass_data</t>
  </si>
  <si>
    <t>Clutch mass</t>
  </si>
  <si>
    <t>%RCM</t>
  </si>
  <si>
    <t>Cl/yr</t>
  </si>
  <si>
    <t>%ARCM</t>
  </si>
  <si>
    <t>Citation</t>
  </si>
  <si>
    <t>Carettochelyidae</t>
  </si>
  <si>
    <t>Daly River</t>
  </si>
  <si>
    <t>measured</t>
  </si>
  <si>
    <t>Doody et al. (2003; Journal of Zoology 259:179-188)</t>
  </si>
  <si>
    <t>Kikori River 2003</t>
  </si>
  <si>
    <t>Georges et al. (2008; Wildlife Research 35:700-711)</t>
  </si>
  <si>
    <t>Kikori River 2006</t>
  </si>
  <si>
    <t>Alligator Rivers</t>
  </si>
  <si>
    <t>Georges and Kennett (1989; Australian Wildlife Research 16:323-335)</t>
  </si>
  <si>
    <t>Chelidae</t>
  </si>
  <si>
    <t>Brazil</t>
  </si>
  <si>
    <t>Kinosternon</t>
  </si>
  <si>
    <t>Metrailler (2003; Revue Suisse de Zoologie 110(3):483-490)</t>
  </si>
  <si>
    <t>-</t>
  </si>
  <si>
    <t>C</t>
  </si>
  <si>
    <t>Thompson Lake, West. AU</t>
  </si>
  <si>
    <t>Clay (1981; Journal of the Royal Society of Western Australia 4:27-32)</t>
  </si>
  <si>
    <t>Brisbane, AU</t>
  </si>
  <si>
    <t>Murray River, AU</t>
  </si>
  <si>
    <t>SE Australia</t>
  </si>
  <si>
    <t>Jervis Bay</t>
  </si>
  <si>
    <t>Lake Coranderrk</t>
  </si>
  <si>
    <t>Rafferty et al. (2014; Physiological and Biochemical Zoology 87(3):411-419)</t>
  </si>
  <si>
    <t>Kalala Station</t>
  </si>
  <si>
    <t>Lake Goollelal, Western Australia</t>
  </si>
  <si>
    <t>Rhodin and Mittermeier (1976; Bull. Mus. Comp. Zool. 147:465-488)</t>
  </si>
  <si>
    <t>N Australia</t>
  </si>
  <si>
    <t>Burnett River, AU</t>
  </si>
  <si>
    <t>??</t>
  </si>
  <si>
    <t>Serki Swamp, Kouma Lagoon, Dufideben Swamp, Morehead River</t>
  </si>
  <si>
    <t>Douglas River, AU</t>
  </si>
  <si>
    <t>H</t>
  </si>
  <si>
    <t>Mary River</t>
  </si>
  <si>
    <t>Bellinger River</t>
  </si>
  <si>
    <t>Fraser Island, Queensland</t>
  </si>
  <si>
    <t>Queensland</t>
  </si>
  <si>
    <t>University of Queensland St. Lucia</t>
  </si>
  <si>
    <t>New Guinea</t>
  </si>
  <si>
    <t>SE Brazil</t>
  </si>
  <si>
    <t>Parque Estadual Carlos Botelho</t>
  </si>
  <si>
    <t>Estacao Ecologica do Taim</t>
  </si>
  <si>
    <t>Colombian Pacific Coast</t>
  </si>
  <si>
    <t>Venezuela</t>
  </si>
  <si>
    <t>Australia</t>
  </si>
  <si>
    <t>Fitzoy River, AU</t>
  </si>
  <si>
    <t>Guapore River, Brazil</t>
  </si>
  <si>
    <t>Parque Indigena do Xingu, Brazil</t>
  </si>
  <si>
    <t>Riberiao Preto City</t>
  </si>
  <si>
    <t>Rio Grande do Sul State, Brazil</t>
  </si>
  <si>
    <t>Nouragues Reserve</t>
  </si>
  <si>
    <t>Western AU</t>
  </si>
  <si>
    <t>Manus, Brazil</t>
  </si>
  <si>
    <t>Cheloniidae</t>
  </si>
  <si>
    <t>Florida</t>
  </si>
  <si>
    <t>Turkey</t>
  </si>
  <si>
    <t>Greece</t>
  </si>
  <si>
    <t>Cuba</t>
  </si>
  <si>
    <t>Costa Rica</t>
  </si>
  <si>
    <t>Seychelles</t>
  </si>
  <si>
    <t>Chelydridae</t>
  </si>
  <si>
    <t>Canada</t>
  </si>
  <si>
    <t>Michigan</t>
  </si>
  <si>
    <t>Crescent Lake National Refuge</t>
  </si>
  <si>
    <t>Nebraska, USA</t>
  </si>
  <si>
    <t>Peconic River, NY</t>
  </si>
  <si>
    <t>Tallahassee, FL</t>
  </si>
  <si>
    <t>John Heinz National Wildlife Refuge, PA</t>
  </si>
  <si>
    <t>Washtenaw and Livington counties, MI</t>
  </si>
  <si>
    <t>Weaver Dunes, MN</t>
  </si>
  <si>
    <t>Valentine National Wildlife Refuge, NE</t>
  </si>
  <si>
    <t>Winston-Salem, NC</t>
  </si>
  <si>
    <t>Whiteside Co., IL</t>
  </si>
  <si>
    <t>N Florida</t>
  </si>
  <si>
    <t>Louisiana, USA</t>
  </si>
  <si>
    <t>Dermatemydidae</t>
  </si>
  <si>
    <t>Chiapas and Veracruz, Mexico</t>
  </si>
  <si>
    <t>Veracruz, Mexico</t>
  </si>
  <si>
    <t>Dermochelyidae</t>
  </si>
  <si>
    <t>French Guiana</t>
  </si>
  <si>
    <t>Mexican Pacific</t>
  </si>
  <si>
    <t>Playa Langosta</t>
  </si>
  <si>
    <t>Emydidae</t>
  </si>
  <si>
    <t>Tehachapi Mountains CA</t>
  </si>
  <si>
    <t>Goose Lake, CA</t>
  </si>
  <si>
    <t>Cambria, CA</t>
  </si>
  <si>
    <t>Vandenberg AFB CA</t>
  </si>
  <si>
    <t>Fresno, CA</t>
  </si>
  <si>
    <t>Hanford, CA</t>
  </si>
  <si>
    <t>San Luis Obispo, CA</t>
  </si>
  <si>
    <t>Athens, GA</t>
  </si>
  <si>
    <t>Nebraska</t>
  </si>
  <si>
    <t>Virginia</t>
  </si>
  <si>
    <t>Round Lake State Park, ID</t>
  </si>
  <si>
    <t>New Mexico, USA</t>
  </si>
  <si>
    <t>Hyannis, NE</t>
  </si>
  <si>
    <t xml:space="preserve">Illinois </t>
  </si>
  <si>
    <t>Beaver Island, MI</t>
  </si>
  <si>
    <t>Beem Lake, NE</t>
  </si>
  <si>
    <t>Dobbins' Pond, NE</t>
  </si>
  <si>
    <t>Hansen's Lake, NE</t>
  </si>
  <si>
    <t>Swan, NE</t>
  </si>
  <si>
    <t>Gimlet Lake, NE</t>
  </si>
  <si>
    <t>Syringa Trailer Court, ID</t>
  </si>
  <si>
    <t>Middle Findley Lake,ID</t>
  </si>
  <si>
    <t>Pennsylvania</t>
  </si>
  <si>
    <t>Lake Huron, Ontario, CA</t>
  </si>
  <si>
    <t>multiple</t>
  </si>
  <si>
    <t>South Carolina</t>
  </si>
  <si>
    <t>Ontario, CA</t>
  </si>
  <si>
    <t xml:space="preserve"> North Florida</t>
  </si>
  <si>
    <t>SREL, SC</t>
  </si>
  <si>
    <t>Oklahoma, USA</t>
  </si>
  <si>
    <t>Arkansas, USA</t>
  </si>
  <si>
    <t>Grant, Arthur Counties, NE</t>
  </si>
  <si>
    <t>Kejimkujik Nation Park, Nova Scotia</t>
  </si>
  <si>
    <t>Valentine National Wildlife Refuge, Cherry County NE</t>
  </si>
  <si>
    <t>Great Meadows National Wildlife Refuge, MA</t>
  </si>
  <si>
    <t>Western NE</t>
  </si>
  <si>
    <t>Lemont IL</t>
  </si>
  <si>
    <t>Italy</t>
  </si>
  <si>
    <t>Algeria</t>
  </si>
  <si>
    <t>Tiar-saadi et al. (2017; Biologia 72:819-824).</t>
  </si>
  <si>
    <t>Lake Egirdir, Turkey</t>
  </si>
  <si>
    <t>Camp Darby, Italy</t>
  </si>
  <si>
    <t>Tenuta di San Rossore, Italy</t>
  </si>
  <si>
    <t>Tarsia, Italy</t>
  </si>
  <si>
    <t>Mount Pllino, Italy</t>
  </si>
  <si>
    <t>Belarussian Polesye</t>
  </si>
  <si>
    <t>Kharkiv Region</t>
  </si>
  <si>
    <t>Alognquin Park, Canada</t>
  </si>
  <si>
    <t>Quebec, Canada</t>
  </si>
  <si>
    <t>Delaware</t>
  </si>
  <si>
    <t>Maryland</t>
  </si>
  <si>
    <t>NJ and PA</t>
  </si>
  <si>
    <t>Flint River, GA</t>
  </si>
  <si>
    <t>Conecuh RIver, AL</t>
  </si>
  <si>
    <t>Pascagoula River, MS</t>
  </si>
  <si>
    <t>Vernon County, WI</t>
  </si>
  <si>
    <t>Juniata River, PA</t>
  </si>
  <si>
    <t>Erie, PA</t>
  </si>
  <si>
    <t>Mississippi</t>
  </si>
  <si>
    <t>Pearl River, MS/LA</t>
  </si>
  <si>
    <t>Wisconsin</t>
  </si>
  <si>
    <t>Upper Sabine, LA</t>
  </si>
  <si>
    <t>Lower Sabine, LA</t>
  </si>
  <si>
    <t>Upper Calcasieu, LA</t>
  </si>
  <si>
    <t>Lower Calcasieu, LA</t>
  </si>
  <si>
    <t>Mermentau, LA</t>
  </si>
  <si>
    <t>Colorado River, TX</t>
  </si>
  <si>
    <t>Jamaica Bay Wildlife Refuge, NY</t>
  </si>
  <si>
    <t>Merrit Island National Wildlife Refuge, FL</t>
  </si>
  <si>
    <t>Louisiana Coast</t>
  </si>
  <si>
    <t>Edisto Island, SC</t>
  </si>
  <si>
    <t>Kiawah island, SC</t>
  </si>
  <si>
    <t>Poplar Island, MD</t>
  </si>
  <si>
    <t>Chesapeake Bay</t>
  </si>
  <si>
    <t>Gateway National Recreational Area</t>
  </si>
  <si>
    <t>Pine Island, Lee County, FL</t>
  </si>
  <si>
    <t>Brigantine Wildlife Refuge, NJ</t>
  </si>
  <si>
    <t>Alabama</t>
  </si>
  <si>
    <t>Lake Hamilton, AR</t>
  </si>
  <si>
    <t>Illinois</t>
  </si>
  <si>
    <t>Southern Missouri</t>
  </si>
  <si>
    <t>Tallapoosa River, AL</t>
  </si>
  <si>
    <t>NW Florida</t>
  </si>
  <si>
    <t>Massachusetts</t>
  </si>
  <si>
    <t>Llano River, TX</t>
  </si>
  <si>
    <t>Aquarena Center, San Marcos, TX</t>
  </si>
  <si>
    <t>Connecticut River Valley, MA</t>
  </si>
  <si>
    <t>Lynchburg, PA</t>
  </si>
  <si>
    <t>Cole County, MO</t>
  </si>
  <si>
    <t>Kansas</t>
  </si>
  <si>
    <t>South Dakota</t>
  </si>
  <si>
    <t>Chihuahuan Desert</t>
  </si>
  <si>
    <t>Sevilleta national Wildlife Refuge, NM</t>
  </si>
  <si>
    <t>P</t>
  </si>
  <si>
    <t>Lucas and Bager (2017; Amphibian-Reptilia 38:425-434).</t>
  </si>
  <si>
    <t>Sierra Co., NM</t>
  </si>
  <si>
    <t>Calabria, Italy</t>
  </si>
  <si>
    <t>Ilinois</t>
  </si>
  <si>
    <t>Gilead Slough, Ilinois</t>
  </si>
  <si>
    <t>Stump Lake, IL</t>
  </si>
  <si>
    <t>Pohlman Slough</t>
  </si>
  <si>
    <t>Swan Lake</t>
  </si>
  <si>
    <t>Panama</t>
  </si>
  <si>
    <t>Veracruz and Chiapas, MX</t>
  </si>
  <si>
    <t>Geoemydidae</t>
  </si>
  <si>
    <t>Malaysia</t>
  </si>
  <si>
    <t>India</t>
  </si>
  <si>
    <t>Ernst and Barbour 1989</t>
  </si>
  <si>
    <t>N Taiwan</t>
  </si>
  <si>
    <t>Tawain (captivity)</t>
  </si>
  <si>
    <t>Captive</t>
  </si>
  <si>
    <t>China</t>
  </si>
  <si>
    <t>Blanck 2005</t>
  </si>
  <si>
    <t>Gomti River</t>
  </si>
  <si>
    <t>Thai</t>
  </si>
  <si>
    <t>Phra Nakhon SiAyutthaya Province</t>
  </si>
  <si>
    <t>Spain</t>
  </si>
  <si>
    <t>Morocco</t>
  </si>
  <si>
    <t>Taiwan</t>
  </si>
  <si>
    <t>Japan</t>
  </si>
  <si>
    <t>Bangladesh</t>
  </si>
  <si>
    <t>Colombia</t>
  </si>
  <si>
    <t>Palawan</t>
  </si>
  <si>
    <t>Kinosternidae</t>
  </si>
  <si>
    <t>Near Rio Cintalapa Bridge, HWY 190, Chiapas</t>
  </si>
  <si>
    <t>El Jobo, Alvarado, Veracruz</t>
  </si>
  <si>
    <t>Los Hornos, Sonora, MX</t>
  </si>
  <si>
    <t>Near Gainesville, FL</t>
  </si>
  <si>
    <t>SREL</t>
  </si>
  <si>
    <t>Chamela-Barra de Navidad, Jalisco, MX</t>
  </si>
  <si>
    <t>Yucatan Peninsula</t>
  </si>
  <si>
    <t>Texas</t>
  </si>
  <si>
    <t>Gimlet Lake, Nebraska</t>
  </si>
  <si>
    <t>Iowa</t>
  </si>
  <si>
    <t>New Mexico</t>
  </si>
  <si>
    <t>Arroyo La Coma</t>
  </si>
  <si>
    <t>Presidio County, TX</t>
  </si>
  <si>
    <t>Iverson unpublished data</t>
  </si>
  <si>
    <t>Nachititla, MX</t>
  </si>
  <si>
    <t>Nuevo Urecho</t>
  </si>
  <si>
    <t>Playa Azul</t>
  </si>
  <si>
    <t>Tejupilco, Edo. MX</t>
  </si>
  <si>
    <t>Tonatico2</t>
  </si>
  <si>
    <t>Tonatico1</t>
  </si>
  <si>
    <t>Tres Palos</t>
  </si>
  <si>
    <t>Tonatico</t>
  </si>
  <si>
    <t>Sierra de Nachititla, Edo. MX</t>
  </si>
  <si>
    <t>Loa Tuxtlas, Veracruz</t>
  </si>
  <si>
    <t>Honduras</t>
  </si>
  <si>
    <t>Argentina</t>
  </si>
  <si>
    <t>Arizona</t>
  </si>
  <si>
    <t>Arizona (Beaver Creek)</t>
  </si>
  <si>
    <t>Arizona (Sycamore creek)</t>
  </si>
  <si>
    <t>Arizona (Indian Canal)</t>
  </si>
  <si>
    <t>Arizona (Motezuma Well)</t>
  </si>
  <si>
    <t>Arizona (Quitobaquito)</t>
  </si>
  <si>
    <t>Arizona (Mud Spring)</t>
  </si>
  <si>
    <t>Arizona (Palm Lake)</t>
  </si>
  <si>
    <t>Arizona (Granite Reef)</t>
  </si>
  <si>
    <t>Arizona (Sharp Spring)</t>
  </si>
  <si>
    <t>Arizona (Tule Creek)</t>
  </si>
  <si>
    <t>Chiricahua Mountains, AZ</t>
  </si>
  <si>
    <t>Arkansas</t>
  </si>
  <si>
    <t>Lake Hamilton Fish Hatchery, AR</t>
  </si>
  <si>
    <t>Los Tuxtlas, Veracruz</t>
  </si>
  <si>
    <t>`</t>
  </si>
  <si>
    <t>Northern Alabama</t>
  </si>
  <si>
    <t>North Florida</t>
  </si>
  <si>
    <t>Grassyfork, Indiana</t>
  </si>
  <si>
    <t>Yellowwood, IN</t>
  </si>
  <si>
    <t>Crane, IN</t>
  </si>
  <si>
    <t>Central AL</t>
  </si>
  <si>
    <t>Pelomedusidae</t>
  </si>
  <si>
    <t>Gabon, Africa</t>
  </si>
  <si>
    <t>Zambia</t>
  </si>
  <si>
    <t>Mpudzi River, Zambia</t>
  </si>
  <si>
    <t>Platysternidae</t>
  </si>
  <si>
    <t>Hong Kong</t>
  </si>
  <si>
    <t>New York (captivity)</t>
  </si>
  <si>
    <t>Podocnemididae</t>
  </si>
  <si>
    <t>Betsiboka River, Madagascar</t>
  </si>
  <si>
    <t>Lower Tapajos River</t>
  </si>
  <si>
    <t>Rio Trombetas, Brazil</t>
  </si>
  <si>
    <t>Pararuma, Orinoco</t>
  </si>
  <si>
    <t>Aramia</t>
  </si>
  <si>
    <t>Axioma</t>
  </si>
  <si>
    <t>Mapiciari</t>
  </si>
  <si>
    <t>Leonardo</t>
  </si>
  <si>
    <t>Tocantins State, Javes River 2000</t>
  </si>
  <si>
    <t>Tocantins State, Javes River 2001</t>
  </si>
  <si>
    <t>Pava Island</t>
  </si>
  <si>
    <t>Chicagua River</t>
  </si>
  <si>
    <t>Puerto Berrio</t>
  </si>
  <si>
    <t>Rio Trombetas Biological Reserve, Brazil</t>
  </si>
  <si>
    <t>Amazonas River at Barreirinha-AM</t>
  </si>
  <si>
    <t>Falsino River</t>
  </si>
  <si>
    <t>Araguari River</t>
  </si>
  <si>
    <t>Solimoes River</t>
  </si>
  <si>
    <t>Nichare River Basin</t>
  </si>
  <si>
    <t>Taboleiro de Aqua Preta 2007</t>
  </si>
  <si>
    <t>Taboleiro de Aqua Preta 2008</t>
  </si>
  <si>
    <t>Testudinidae</t>
  </si>
  <si>
    <t>Aldabra</t>
  </si>
  <si>
    <t>Madagascar</t>
  </si>
  <si>
    <t>Sudan</t>
  </si>
  <si>
    <t>La Torta</t>
  </si>
  <si>
    <t>South Africa</t>
  </si>
  <si>
    <t>South Africa 2000</t>
  </si>
  <si>
    <t>South Africa 2001</t>
  </si>
  <si>
    <t>Springbok, South Africa</t>
  </si>
  <si>
    <t>Nevada</t>
  </si>
  <si>
    <t>California</t>
  </si>
  <si>
    <t>Ivanpah Valley, CA</t>
  </si>
  <si>
    <t>Goff</t>
  </si>
  <si>
    <t>DTNA</t>
  </si>
  <si>
    <t>Yucca Mountain, Nevada</t>
  </si>
  <si>
    <t>Cima</t>
  </si>
  <si>
    <t>Pumphouse</t>
  </si>
  <si>
    <t>Joshua Tree NP, CA</t>
  </si>
  <si>
    <t>Beaver Dam Slope UT</t>
  </si>
  <si>
    <t>Dimmit and LaSalle, TX</t>
  </si>
  <si>
    <t>Arizona (Sugarloaf MT)</t>
  </si>
  <si>
    <t>Gainesville, FL</t>
  </si>
  <si>
    <t>SW Georgia</t>
  </si>
  <si>
    <t>Avon Park Air Force Range</t>
  </si>
  <si>
    <t>Camp Shelby, MS</t>
  </si>
  <si>
    <t>Jupiter FL</t>
  </si>
  <si>
    <t>University of North FL</t>
  </si>
  <si>
    <t>Archbold Biological Station, FL</t>
  </si>
  <si>
    <t>Okeeheelee, FL</t>
  </si>
  <si>
    <t>Silver Lake Station, South GA</t>
  </si>
  <si>
    <t>Central Florida</t>
  </si>
  <si>
    <t>Louisiana</t>
  </si>
  <si>
    <t>Marion County, MS</t>
  </si>
  <si>
    <t>Das 1991</t>
  </si>
  <si>
    <t>Meat Markets Niger Delta</t>
  </si>
  <si>
    <t>Tierberg Karoo Research Centre</t>
  </si>
  <si>
    <t>Andranomena, Madascagar</t>
  </si>
  <si>
    <t>Analaiva, Madascagar</t>
  </si>
  <si>
    <t>North-West Iran</t>
  </si>
  <si>
    <t>Donana, Spain</t>
  </si>
  <si>
    <t>North-West Tunisia</t>
  </si>
  <si>
    <t>Southern Spain</t>
  </si>
  <si>
    <t>Epanomi</t>
  </si>
  <si>
    <t>Kolchis</t>
  </si>
  <si>
    <t>Azerbaijan</t>
  </si>
  <si>
    <t>Greece (Alyki)</t>
  </si>
  <si>
    <t>Greece (Litochoron)</t>
  </si>
  <si>
    <t>Greece (Deskati)</t>
  </si>
  <si>
    <t>Corsica</t>
  </si>
  <si>
    <t>Plaine des Maures, France</t>
  </si>
  <si>
    <t>Beer-Milka</t>
  </si>
  <si>
    <t>Trionychidae</t>
  </si>
  <si>
    <t>South Florda</t>
  </si>
  <si>
    <t>Moultrie, GA</t>
  </si>
  <si>
    <t>Muscatine Co, IA</t>
  </si>
  <si>
    <t>White River, Arkansas</t>
  </si>
  <si>
    <t>Bhopal, India</t>
  </si>
  <si>
    <t>Eastern Bangladesh</t>
  </si>
  <si>
    <t>Asia (captive)</t>
  </si>
  <si>
    <t>Hangzhou, China</t>
  </si>
  <si>
    <t>Zhejiang Province</t>
  </si>
  <si>
    <t>ca 29</t>
  </si>
  <si>
    <t>Zavieh Mash Ali</t>
  </si>
  <si>
    <t>Tigris River, Turkey</t>
  </si>
  <si>
    <t>Alexander River, Israel</t>
  </si>
  <si>
    <t>Lake Sulphurous, Turkey</t>
  </si>
  <si>
    <t>Pseudemys gorzugi</t>
  </si>
  <si>
    <t>Eddy County NM</t>
  </si>
  <si>
    <t>Gopherus morafkai</t>
  </si>
  <si>
    <t>Maricopa Co. Arizona</t>
  </si>
  <si>
    <t>Rondonia Brazil</t>
  </si>
  <si>
    <t>Kinosternon herrerai</t>
  </si>
  <si>
    <t>unknown</t>
  </si>
  <si>
    <t>at least 2</t>
  </si>
  <si>
    <t>Cyclemys atripons</t>
  </si>
  <si>
    <t>captive</t>
  </si>
  <si>
    <t>Loreto Peru</t>
  </si>
  <si>
    <t>estimated</t>
  </si>
  <si>
    <t>Indotestudo forstenii</t>
  </si>
  <si>
    <t>Terrapene mexicana</t>
  </si>
  <si>
    <t>Mexico</t>
  </si>
  <si>
    <t>Staurotypus salvinii</t>
  </si>
  <si>
    <t>Mauremys reevesii</t>
  </si>
  <si>
    <t>up to 3</t>
  </si>
  <si>
    <t>Chelodina parkeri</t>
  </si>
  <si>
    <t>Heosemys spinosa</t>
  </si>
  <si>
    <t>Trachemys terrapen</t>
  </si>
  <si>
    <t>Jamaica</t>
  </si>
  <si>
    <t>Emydura subglobosa</t>
  </si>
  <si>
    <t>Testudo kleinmanni</t>
  </si>
  <si>
    <t>Sacalia quadriocellata</t>
  </si>
  <si>
    <t>Platysternon megacephalum</t>
  </si>
  <si>
    <t>Phrynops geoffroanus</t>
  </si>
  <si>
    <t>Papua</t>
  </si>
  <si>
    <t>Chelodina rugosa</t>
  </si>
  <si>
    <t>Stigmochelys pardalis</t>
  </si>
  <si>
    <t>2-3</t>
  </si>
  <si>
    <t>Chelodina longicollis</t>
  </si>
  <si>
    <t>Chelus fimbriata</t>
  </si>
  <si>
    <t>Geochelone elegans</t>
  </si>
  <si>
    <t>up to 4</t>
  </si>
  <si>
    <t>Nilssonia gangetica</t>
  </si>
  <si>
    <t>Vadodara, Gujarat, India</t>
  </si>
  <si>
    <t>semicaptive</t>
  </si>
  <si>
    <t>Lissemys punctata</t>
  </si>
  <si>
    <t>Gujarat, India</t>
  </si>
  <si>
    <t>Mesoclemmys dahli</t>
  </si>
  <si>
    <t>Cordoba Colombia</t>
  </si>
  <si>
    <t>.&gt;1</t>
  </si>
  <si>
    <t>Pyxis planicauda</t>
  </si>
  <si>
    <t>Mesoclemmys vanderhaegei</t>
  </si>
  <si>
    <t>up to 2</t>
  </si>
  <si>
    <t>Mesoclemmys zuliae</t>
  </si>
  <si>
    <t>Peltocephalus dumerilianus</t>
  </si>
  <si>
    <t>Orinoco</t>
  </si>
  <si>
    <t>Cuora flavomarginata</t>
  </si>
  <si>
    <t>Hydromedusa tectifera</t>
  </si>
  <si>
    <t>up to 7</t>
  </si>
  <si>
    <t>Mesoclemmys heliostemma</t>
  </si>
  <si>
    <t>Gopherus flavomarginatus</t>
  </si>
  <si>
    <t>Mapimi, Mexico</t>
  </si>
  <si>
    <t>Kinixys erosa</t>
  </si>
  <si>
    <t>Zaire</t>
  </si>
  <si>
    <t>Kinixys homeana</t>
  </si>
  <si>
    <t>Homopus areolatus</t>
  </si>
  <si>
    <t>Chersobius signatus</t>
  </si>
  <si>
    <t>Psammobates geometricus</t>
  </si>
  <si>
    <t>Psammobates oculifer</t>
  </si>
  <si>
    <t>Kinosternon angustipons</t>
  </si>
  <si>
    <t>Acuña-Mesen (1998. Las Tortugas Continentales de Costa Rica).</t>
  </si>
  <si>
    <t>S Mexico and Belize</t>
  </si>
  <si>
    <t>Kinosternon scorpioides</t>
  </si>
  <si>
    <t>1-2</t>
  </si>
  <si>
    <t>Rhinoclemmys funerea</t>
  </si>
  <si>
    <t>Rhinoclemmys pulcherrima</t>
  </si>
  <si>
    <t>trimeni</t>
  </si>
  <si>
    <t>Psammobates tentorius</t>
  </si>
  <si>
    <t>Pyxis arachnoides</t>
  </si>
  <si>
    <t>Geochelone platynota</t>
  </si>
  <si>
    <t>Myanmar</t>
  </si>
  <si>
    <t>Indotestudo elongata</t>
  </si>
  <si>
    <t>Kerala</t>
  </si>
  <si>
    <t>Manouria impressa</t>
  </si>
  <si>
    <t>Frazier's Hill, Malaysia</t>
  </si>
  <si>
    <t>Testudo hermanni</t>
  </si>
  <si>
    <t>Mesoclemmys tuberculata</t>
  </si>
  <si>
    <t>Canberra, Australia</t>
  </si>
  <si>
    <t>Chelodina expansa</t>
  </si>
  <si>
    <t>Univ. Queensland St. Lucia</t>
  </si>
  <si>
    <t>SE Queensland</t>
  </si>
  <si>
    <t>Marion Co. Florida</t>
  </si>
  <si>
    <t>Pangshura tecta</t>
  </si>
  <si>
    <t>Fitzroy River</t>
  </si>
  <si>
    <t>Basutoland</t>
  </si>
  <si>
    <t>Pelomedusa galeata</t>
  </si>
  <si>
    <t>Wakulla, Florida</t>
  </si>
  <si>
    <t>Galapagos</t>
  </si>
  <si>
    <t>Apalone ferox</t>
  </si>
  <si>
    <t>Trionyx triunguis</t>
  </si>
  <si>
    <t>Indotestudo travancorica</t>
  </si>
  <si>
    <t>Indonesia</t>
  </si>
  <si>
    <t>Chitra indica</t>
  </si>
  <si>
    <t>Chambal River India</t>
  </si>
  <si>
    <t>Kukurt Golu</t>
  </si>
  <si>
    <t>Pangshura tentoria</t>
  </si>
  <si>
    <t>Gorakhpur, India</t>
  </si>
  <si>
    <t>Pelusios nanus</t>
  </si>
  <si>
    <t>Madras, India</t>
  </si>
  <si>
    <t>Madras captive</t>
  </si>
  <si>
    <t>Pelusios broadleyi</t>
  </si>
  <si>
    <t>Turkana; captive</t>
  </si>
  <si>
    <t>Pelusios castaneus</t>
  </si>
  <si>
    <t>Pelomedusa olivacea</t>
  </si>
  <si>
    <t>Emydoidea blandingii</t>
  </si>
  <si>
    <t>Anoka Co. Minnesota</t>
  </si>
  <si>
    <t>Weaver Dunes MN</t>
  </si>
  <si>
    <t>Camp Riley MN</t>
  </si>
  <si>
    <t>Garden Co. Nebraska</t>
  </si>
  <si>
    <t>Apalone spinifera</t>
  </si>
  <si>
    <t>Butler Co. Iowa</t>
  </si>
  <si>
    <t>Rafetus euphraticus</t>
  </si>
  <si>
    <t>Shul-el Arab, Iraq</t>
  </si>
  <si>
    <t>Gaziantep, Turkey</t>
  </si>
  <si>
    <t>Chelodina mccordi</t>
  </si>
  <si>
    <t>Cycloderma aubryi</t>
  </si>
  <si>
    <t>Gabon</t>
  </si>
  <si>
    <t>Gopherus polyphemus</t>
  </si>
  <si>
    <t>Archbold, Florida</t>
  </si>
  <si>
    <t>Clemmys guttata</t>
  </si>
  <si>
    <t>Maxinkuckee, Indiana</t>
  </si>
  <si>
    <t>Mesoclemmys raniceps</t>
  </si>
  <si>
    <t>Macrochelys temminckii</t>
  </si>
  <si>
    <t>Siebenrockiella crassicollis</t>
  </si>
  <si>
    <t>Sumatra</t>
  </si>
  <si>
    <t>Mauremys japonica</t>
  </si>
  <si>
    <t>Cuora amboinensis</t>
  </si>
  <si>
    <t>&gt;1</t>
  </si>
  <si>
    <t>Testudo graeca</t>
  </si>
  <si>
    <t>Souss Valley, Morocco</t>
  </si>
  <si>
    <t>Emys orbicularis</t>
  </si>
  <si>
    <t>Mauremys rivulata</t>
  </si>
  <si>
    <t>Mesopotamia</t>
  </si>
  <si>
    <t>Dermatemys mawii</t>
  </si>
  <si>
    <t>Belize</t>
  </si>
  <si>
    <t>KwaZulu Natal</t>
  </si>
  <si>
    <t>Pelusios sinuatus</t>
  </si>
  <si>
    <t>Sacalia bealei</t>
  </si>
  <si>
    <t>Geoemyda spengleri</t>
  </si>
  <si>
    <t>Tamaulipas, Mexico</t>
  </si>
  <si>
    <t>Legler and Ewert pers. comm.</t>
  </si>
  <si>
    <t>Maine</t>
  </si>
  <si>
    <t>Sternotherus odoratus</t>
  </si>
  <si>
    <t>Graptemys flavimaculata</t>
  </si>
  <si>
    <t>Glyptemys insculpta</t>
  </si>
  <si>
    <t>Glyptemys muhlenbergii</t>
  </si>
  <si>
    <t>Pelodiscus sinensis</t>
  </si>
  <si>
    <t>USSR</t>
  </si>
  <si>
    <t>Testudo horsfieldii</t>
  </si>
  <si>
    <t>Acanthochelys macrocephala</t>
  </si>
  <si>
    <t>Paraguay</t>
  </si>
  <si>
    <t>Trachemys decussata</t>
  </si>
  <si>
    <t>Dominican Republic</t>
  </si>
  <si>
    <t>San Marcos Texas</t>
  </si>
  <si>
    <t>Pseudemys concinna</t>
  </si>
  <si>
    <t>Tennessee</t>
  </si>
  <si>
    <t>at least 3</t>
  </si>
  <si>
    <t>Podocnemis unifilis</t>
  </si>
  <si>
    <t>Loreto, Peru</t>
  </si>
  <si>
    <t>Lexington Massachusetts</t>
  </si>
  <si>
    <t>Acanthochelys pallidipectoris</t>
  </si>
  <si>
    <t>Mendoza, Argentina</t>
  </si>
  <si>
    <t>Iverson pers. comm.</t>
  </si>
  <si>
    <t>more than 1</t>
  </si>
  <si>
    <t>Mesoclemmys gibba</t>
  </si>
  <si>
    <t>Podocnemis vogli</t>
  </si>
  <si>
    <t>North Carolina</t>
  </si>
  <si>
    <t>Chrysemys picta</t>
  </si>
  <si>
    <t>Homopus femoralis</t>
  </si>
  <si>
    <t>South Africa captive</t>
  </si>
  <si>
    <t>N. Carolina</t>
  </si>
  <si>
    <t>Kinosternon subrubrum</t>
  </si>
  <si>
    <t>N.Carolina</t>
  </si>
  <si>
    <t>Pseudemys floridana</t>
  </si>
  <si>
    <t>Malaclemys terrapin</t>
  </si>
  <si>
    <t>Pseudemys rubriventris</t>
  </si>
  <si>
    <t>Terrapene carolina</t>
  </si>
  <si>
    <t>Kinosternon baurii</t>
  </si>
  <si>
    <t>Graptemys barbouri</t>
  </si>
  <si>
    <t>Graptemys pulchra</t>
  </si>
  <si>
    <t>Graptemys versa</t>
  </si>
  <si>
    <t>up to 1</t>
  </si>
  <si>
    <t>&lt; 1</t>
  </si>
  <si>
    <t>Springbok S. Africa</t>
  </si>
  <si>
    <t>S. Brazil</t>
  </si>
  <si>
    <t>Faizabad, India</t>
  </si>
  <si>
    <t>Hydromedusa maximiliani</t>
  </si>
  <si>
    <t>Varanasi India</t>
  </si>
  <si>
    <t>Trachemys dorbigni</t>
  </si>
  <si>
    <t>Santa Catarina, BR</t>
  </si>
  <si>
    <t>French West Africa</t>
  </si>
  <si>
    <t>Kinixys nogueyi</t>
  </si>
  <si>
    <t>Pelusios subniger</t>
  </si>
  <si>
    <t>Mauremys leprosa</t>
  </si>
  <si>
    <t>Formosa, Argentina</t>
  </si>
  <si>
    <t>Cabrera (1998. Tortugas Continentales de Sudamérica Austral).</t>
  </si>
  <si>
    <t>Acanthochelys spixii</t>
  </si>
  <si>
    <t>Parana, Brazil</t>
  </si>
  <si>
    <t>Tobati, Paraguay</t>
  </si>
  <si>
    <t>Phrynops williamsi</t>
  </si>
  <si>
    <t>RS Brazil</t>
  </si>
  <si>
    <t>Ceará, Brazil</t>
  </si>
  <si>
    <t>Egg Type</t>
  </si>
  <si>
    <t>B</t>
  </si>
  <si>
    <t>Egg length_mm</t>
  </si>
  <si>
    <t>Nabmao, China</t>
  </si>
  <si>
    <t>Diaoluoshan, China</t>
  </si>
  <si>
    <t>Daly River, Australia</t>
  </si>
  <si>
    <t>Chelydra rossignoni</t>
  </si>
  <si>
    <t>Batagur baska</t>
  </si>
  <si>
    <t>Batagur dhongoka</t>
  </si>
  <si>
    <t>Chambal, India</t>
  </si>
  <si>
    <t>Batagur kachuga</t>
  </si>
  <si>
    <t>Cuora aurocapitata</t>
  </si>
  <si>
    <t>Great Nicobar</t>
  </si>
  <si>
    <t>Cuora mccordi</t>
  </si>
  <si>
    <t>Cuora zhoui</t>
  </si>
  <si>
    <t>Orissa</t>
  </si>
  <si>
    <t>Rhinoclemmys areolata</t>
  </si>
  <si>
    <t>Rhinoclemmys rubida</t>
  </si>
  <si>
    <t>Oaxaca</t>
  </si>
  <si>
    <t>Melanochelys tricarinata</t>
  </si>
  <si>
    <t>Melanochelys trijuga</t>
  </si>
  <si>
    <t>Orissa, India</t>
  </si>
  <si>
    <t>Vijayachelys silvatica</t>
  </si>
  <si>
    <t>SW India</t>
  </si>
  <si>
    <t>Acanthochelys radiolata</t>
  </si>
  <si>
    <t>Sao Paulo captive</t>
  </si>
  <si>
    <t>Chelodina oblonga</t>
  </si>
  <si>
    <t>W. Australia</t>
  </si>
  <si>
    <t>Chelodina steindachneri</t>
  </si>
  <si>
    <t>Emydura macquarii</t>
  </si>
  <si>
    <t>Uruguay</t>
  </si>
  <si>
    <t>Carangola, Brazil</t>
  </si>
  <si>
    <t>Peru</t>
  </si>
  <si>
    <t>Brazil captive</t>
  </si>
  <si>
    <t>Platemys platycephala</t>
  </si>
  <si>
    <t>Rhinemys rufipes</t>
  </si>
  <si>
    <t>Chiapas, Mexico</t>
  </si>
  <si>
    <t>Actinemys pallida</t>
  </si>
  <si>
    <t>Baja California</t>
  </si>
  <si>
    <t>Saskatchewan</t>
  </si>
  <si>
    <t>Chihuahua, Mexico</t>
  </si>
  <si>
    <t>Black River, New Mexico</t>
  </si>
  <si>
    <t>Nebraska Sandhills</t>
  </si>
  <si>
    <t>Iverson unpublished</t>
  </si>
  <si>
    <t>Trachemys gaigeae</t>
  </si>
  <si>
    <t>Trachemys grayi</t>
  </si>
  <si>
    <t>Chiapas</t>
  </si>
  <si>
    <t>Trachemys ornata</t>
  </si>
  <si>
    <t>Sinaloa, Mexico</t>
  </si>
  <si>
    <t>SLP, Mexico</t>
  </si>
  <si>
    <t>Trachemys venusta</t>
  </si>
  <si>
    <t>Tabasco</t>
  </si>
  <si>
    <t>Claudius angustatus</t>
  </si>
  <si>
    <t>Kinosternon acutum</t>
  </si>
  <si>
    <t>Kinosternon chimalhuaca</t>
  </si>
  <si>
    <t>Kinosternon leucostomum</t>
  </si>
  <si>
    <t>Staurotypus triporcatus</t>
  </si>
  <si>
    <t>Aldabrachelys gigantea</t>
  </si>
  <si>
    <t>Astrochelys radiata</t>
  </si>
  <si>
    <t>1-3</t>
  </si>
  <si>
    <t>Astrochelys yniphora</t>
  </si>
  <si>
    <t>Centrochelys sulcata</t>
  </si>
  <si>
    <t>Chersobius solus</t>
  </si>
  <si>
    <t>SW Namibia</t>
  </si>
  <si>
    <t>up to 6</t>
  </si>
  <si>
    <t>Pakistan</t>
  </si>
  <si>
    <t>2-4</t>
  </si>
  <si>
    <t>several</t>
  </si>
  <si>
    <t>Kinixys spekii</t>
  </si>
  <si>
    <t>southern Africa</t>
  </si>
  <si>
    <t>Harare, Zimbabwe</t>
  </si>
  <si>
    <t>Zimbabwe</t>
  </si>
  <si>
    <t>Kinixys zombensis</t>
  </si>
  <si>
    <t>Malacochersus tornieri</t>
  </si>
  <si>
    <t>Tanzania</t>
  </si>
  <si>
    <t>Northern Cape, South Africa</t>
  </si>
  <si>
    <t>Windhoek, Namibia</t>
  </si>
  <si>
    <t>Mountain Zebra Nat. Park SA</t>
  </si>
  <si>
    <t>UP, India</t>
  </si>
  <si>
    <t>Orissa India</t>
  </si>
  <si>
    <t>Pelusios bechuanicus</t>
  </si>
  <si>
    <t>Pelusios rhodesianus</t>
  </si>
  <si>
    <t>Pelusios castanoides</t>
  </si>
  <si>
    <t>Pelusios marani</t>
  </si>
  <si>
    <t>Pelusios niger</t>
  </si>
  <si>
    <t>Erymnochelys madagascariensis</t>
  </si>
  <si>
    <t>Iriri River, Brazil</t>
  </si>
  <si>
    <t>Lower Amazon</t>
  </si>
  <si>
    <t>Carettochelys insculpta</t>
  </si>
  <si>
    <t>Chelodina burrungandjii</t>
  </si>
  <si>
    <t>Chelodina canni</t>
  </si>
  <si>
    <t>Chelodina gunaleni</t>
  </si>
  <si>
    <t>Chelodina kuchlingi</t>
  </si>
  <si>
    <t>Chelodina pritchardi</t>
  </si>
  <si>
    <t>Chelodina reimanni</t>
  </si>
  <si>
    <t>Chelodina walloyarrina</t>
  </si>
  <si>
    <t>Elseya albagula</t>
  </si>
  <si>
    <t>Elseya branderhorsti</t>
  </si>
  <si>
    <t>Elseya dentata</t>
  </si>
  <si>
    <t>Elseya flaviventralis</t>
  </si>
  <si>
    <t>Elseya irwini</t>
  </si>
  <si>
    <t>Elseya lavarackorum</t>
  </si>
  <si>
    <t>Elseya novaeguineae</t>
  </si>
  <si>
    <t>Elseya rhodini</t>
  </si>
  <si>
    <t>Elseya schultzei</t>
  </si>
  <si>
    <t>Elusor macrurus</t>
  </si>
  <si>
    <t>Emydura tanybaraga</t>
  </si>
  <si>
    <t>Emydura victoriae</t>
  </si>
  <si>
    <t>Mesoclemmys hogei</t>
  </si>
  <si>
    <t>Mesoclemmys nasuta</t>
  </si>
  <si>
    <t>Mesoclemmys perplexa</t>
  </si>
  <si>
    <t>Myuchelys bellii</t>
  </si>
  <si>
    <t>Myuchelys georgesi</t>
  </si>
  <si>
    <t>Myuchelys latisternum</t>
  </si>
  <si>
    <t>Myuchelys purvisi</t>
  </si>
  <si>
    <t>Phrynops hilarii</t>
  </si>
  <si>
    <t>Phrynops tuberosus</t>
  </si>
  <si>
    <t>Pseudemydura umbrina</t>
  </si>
  <si>
    <t>Rheodytes leukops</t>
  </si>
  <si>
    <t>Caretta caretta</t>
  </si>
  <si>
    <t>Chelonia mydas</t>
  </si>
  <si>
    <t>Eretmochelys imbricata</t>
  </si>
  <si>
    <t>Natator depressa</t>
  </si>
  <si>
    <t>Chelydra acutirostris</t>
  </si>
  <si>
    <t>Chelydra rossignonii</t>
  </si>
  <si>
    <t>Chelydra serpentina</t>
  </si>
  <si>
    <t>Macrochelys suwanniensis</t>
  </si>
  <si>
    <t>Dermochelys coriacea</t>
  </si>
  <si>
    <t>Actinemys marmorata</t>
  </si>
  <si>
    <t>Chrysemys dorsalis</t>
  </si>
  <si>
    <t>Deirochelys reticularia</t>
  </si>
  <si>
    <t>Graptemys caglei</t>
  </si>
  <si>
    <t>Graptemys ernsti</t>
  </si>
  <si>
    <t>Graptemys geographica</t>
  </si>
  <si>
    <t>Graptemys gibbonsi</t>
  </si>
  <si>
    <t>Graptemys nigrinoda</t>
  </si>
  <si>
    <t>Graptemys oculifera</t>
  </si>
  <si>
    <t>Graptemys ouachitensis</t>
  </si>
  <si>
    <t>Graptemys pearlensis</t>
  </si>
  <si>
    <t>Graptemys pseudogeographica</t>
  </si>
  <si>
    <t>Graptemys sabinensis</t>
  </si>
  <si>
    <t>Pseudemys alabamensis</t>
  </si>
  <si>
    <t>Pseudemys nelsoni</t>
  </si>
  <si>
    <t>Pseudemys peninsularis</t>
  </si>
  <si>
    <t>Pseudemys texana</t>
  </si>
  <si>
    <t>Terrapene coahuila</t>
  </si>
  <si>
    <t>Terrapene nelsoni</t>
  </si>
  <si>
    <t>Terrapene ornata</t>
  </si>
  <si>
    <t>Trachemys adiutrix</t>
  </si>
  <si>
    <t>Trachemys callirostris</t>
  </si>
  <si>
    <t>Trachemys decorata</t>
  </si>
  <si>
    <t>Trachemys nebulosa</t>
  </si>
  <si>
    <t>Trachemys taylori</t>
  </si>
  <si>
    <t>Trachemys yaquia</t>
  </si>
  <si>
    <t>Batagur affinis</t>
  </si>
  <si>
    <t>Batagur borneoensis</t>
  </si>
  <si>
    <t>Batagur trivittata</t>
  </si>
  <si>
    <t>Cuora bourreti</t>
  </si>
  <si>
    <t>Cuora cyclornata</t>
  </si>
  <si>
    <t>Cuora galbinifrons</t>
  </si>
  <si>
    <t>Cuora mouhotii</t>
  </si>
  <si>
    <t>Cuora pani</t>
  </si>
  <si>
    <t>Cuora picturata</t>
  </si>
  <si>
    <t>Cuora trifasciata</t>
  </si>
  <si>
    <t>Cuora yunnanensis</t>
  </si>
  <si>
    <t>Cyclemys dentata</t>
  </si>
  <si>
    <t>Cyclemys enigmatica</t>
  </si>
  <si>
    <t>Cyclemys fusca</t>
  </si>
  <si>
    <t>Cyclemys gemeli</t>
  </si>
  <si>
    <t>Cyclemys oldhamii</t>
  </si>
  <si>
    <t>Cyclemys pulchristriata</t>
  </si>
  <si>
    <t>Geoclemys hamiltonii</t>
  </si>
  <si>
    <t>Geoemyda japonica</t>
  </si>
  <si>
    <t>Hardella thurjii</t>
  </si>
  <si>
    <t>Heosemys annandalii</t>
  </si>
  <si>
    <t>Heosemys depressa</t>
  </si>
  <si>
    <t>Heosemys grandis</t>
  </si>
  <si>
    <t>Leucocephalon yuwonoi</t>
  </si>
  <si>
    <t>Malayemys khoratensis</t>
  </si>
  <si>
    <t>Malayemys macrocephala</t>
  </si>
  <si>
    <t>Malayemys subtrijuga</t>
  </si>
  <si>
    <t>Mauremys annamensis</t>
  </si>
  <si>
    <t>Mauremys caspica</t>
  </si>
  <si>
    <t>Mauremys mutica</t>
  </si>
  <si>
    <t>Mauremys nigricans</t>
  </si>
  <si>
    <t>Mauremys sinensis</t>
  </si>
  <si>
    <t>Morenia ocellata</t>
  </si>
  <si>
    <t>Morenia petersi</t>
  </si>
  <si>
    <t>Notochelys platynota</t>
  </si>
  <si>
    <t>Orlitia borneensis</t>
  </si>
  <si>
    <t>Pangshura smithii</t>
  </si>
  <si>
    <t>Pangshura sylhetensis</t>
  </si>
  <si>
    <t>Rhinoclemmys annulata</t>
  </si>
  <si>
    <t>Rhinoclemmys diademata</t>
  </si>
  <si>
    <t>Rhinoclemmys melanosterna</t>
  </si>
  <si>
    <t>Rhinoclemmys nasuta</t>
  </si>
  <si>
    <t>Rhinoclemmys punctularia</t>
  </si>
  <si>
    <t>Siebenrockiella leytensis</t>
  </si>
  <si>
    <t>Kinosternon abaxillare</t>
  </si>
  <si>
    <t>Kinosternon alamosae</t>
  </si>
  <si>
    <t>Kinosternon creaseri</t>
  </si>
  <si>
    <t>Kinosternon dunni</t>
  </si>
  <si>
    <t>Kinosternon durangoense</t>
  </si>
  <si>
    <t>Kinosternon flavescens</t>
  </si>
  <si>
    <t>Kinosternon hirtipes</t>
  </si>
  <si>
    <t>Kinosternon integrum</t>
  </si>
  <si>
    <t>Kinosternon oaxacae</t>
  </si>
  <si>
    <t>Kinosternon sonoriense</t>
  </si>
  <si>
    <t>Kinosternon steindachneri</t>
  </si>
  <si>
    <t>Kinosternon stejnegeri</t>
  </si>
  <si>
    <t>Sternotherus carinatus</t>
  </si>
  <si>
    <t>Sternotherus depressus</t>
  </si>
  <si>
    <t>Sternotherus minor</t>
  </si>
  <si>
    <t>Pelomedusa barbata</t>
  </si>
  <si>
    <t>Pelomedusa gehafie</t>
  </si>
  <si>
    <t>Pelomedusa kobe</t>
  </si>
  <si>
    <t>Pelomedusa neumanni</t>
  </si>
  <si>
    <t>Pelomedusa schweinfurthi</t>
  </si>
  <si>
    <t>Pelomedusa somalica</t>
  </si>
  <si>
    <t>Pelomedusa subrufa</t>
  </si>
  <si>
    <t>Pelomedusa variabilis</t>
  </si>
  <si>
    <t>Pelusios adansonii</t>
  </si>
  <si>
    <t>Pelusios carinatus</t>
  </si>
  <si>
    <t>Pelusios chapini</t>
  </si>
  <si>
    <t>Pelusios cupulatta</t>
  </si>
  <si>
    <t>Pelusios gabonensis</t>
  </si>
  <si>
    <t>Pelusios upembae</t>
  </si>
  <si>
    <t>Pelusios williamsi</t>
  </si>
  <si>
    <t>Podocnemis erythrocephala</t>
  </si>
  <si>
    <t>Podocnemis expansa</t>
  </si>
  <si>
    <t>Podocnemis lewyana</t>
  </si>
  <si>
    <t>Podocnemis sextuberculata</t>
  </si>
  <si>
    <t>Chelonoidis chathamensis</t>
  </si>
  <si>
    <t>Chelonoidis chilensis</t>
  </si>
  <si>
    <t>Chelonoidis donfaustoi</t>
  </si>
  <si>
    <t>Chersina angulata</t>
  </si>
  <si>
    <t>Chersobius boulengeri</t>
  </si>
  <si>
    <t>Gopherus agassizii</t>
  </si>
  <si>
    <t>Gopherus berlandieri</t>
  </si>
  <si>
    <t>Gopherus evgoodei</t>
  </si>
  <si>
    <t>Kinixys belliana</t>
  </si>
  <si>
    <t>Kinixys lobatsiana</t>
  </si>
  <si>
    <t>Kinixys natalensis</t>
  </si>
  <si>
    <t>Manouria emys</t>
  </si>
  <si>
    <t>Testudo marginata</t>
  </si>
  <si>
    <t>Amyda cartilaginea</t>
  </si>
  <si>
    <t>Amyda ornata</t>
  </si>
  <si>
    <t>Apalone mutica</t>
  </si>
  <si>
    <t>Chitra chitra</t>
  </si>
  <si>
    <t>Chitra vandijki</t>
  </si>
  <si>
    <t>Cyclanorbis elegans</t>
  </si>
  <si>
    <t>Cyclanorbis senegalensis</t>
  </si>
  <si>
    <t>Cycloderma frenatum</t>
  </si>
  <si>
    <t>Dogania subplana</t>
  </si>
  <si>
    <t>Lissemys ceylonensis</t>
  </si>
  <si>
    <t>Lissemys scutata</t>
  </si>
  <si>
    <t>Nilssonia formosa</t>
  </si>
  <si>
    <t>Nilssonia hurum</t>
  </si>
  <si>
    <t>Nilssonia leithii</t>
  </si>
  <si>
    <t>Nilssonia nigricans</t>
  </si>
  <si>
    <t>Palea steindachneri</t>
  </si>
  <si>
    <t>Pelochelys bibroni</t>
  </si>
  <si>
    <t>Pelochelys cantorii</t>
  </si>
  <si>
    <t>Pelochelys signifera</t>
  </si>
  <si>
    <t>Pelodiscus axenaria</t>
  </si>
  <si>
    <t>Pelodiscus maackii</t>
  </si>
  <si>
    <t>Pelodiscus parviformis</t>
  </si>
  <si>
    <t>Rafetus swinhoei</t>
  </si>
  <si>
    <t>NO DATA</t>
  </si>
  <si>
    <t>Kikora River, Papua NG</t>
  </si>
  <si>
    <t>Sydney, Australia</t>
  </si>
  <si>
    <t>Victoria, Australia</t>
  </si>
  <si>
    <t>WA, Australia</t>
  </si>
  <si>
    <t>NT, Australia</t>
  </si>
  <si>
    <t>E Australia</t>
  </si>
  <si>
    <t>NE Australia</t>
  </si>
  <si>
    <t xml:space="preserve">Emydura macquarii </t>
  </si>
  <si>
    <t>Cape York, Australia</t>
  </si>
  <si>
    <t>Amazon</t>
  </si>
  <si>
    <t>Pantanal SAM</t>
  </si>
  <si>
    <t>SAM</t>
  </si>
  <si>
    <t>SW Australia</t>
  </si>
  <si>
    <t>E. Australia</t>
  </si>
  <si>
    <t>NW SAM</t>
  </si>
  <si>
    <t>CAM</t>
  </si>
  <si>
    <t>SE Virginia</t>
  </si>
  <si>
    <t>Quintana Roo, Mexico</t>
  </si>
  <si>
    <t>Mazunte, Oaxaca, Mexico</t>
  </si>
  <si>
    <t>Marajó, Brazil</t>
  </si>
  <si>
    <t>2+</t>
  </si>
  <si>
    <t>Podocnemis voglii</t>
  </si>
  <si>
    <t>many</t>
  </si>
  <si>
    <t>Kenya-Tanzania</t>
  </si>
  <si>
    <t>uo to 6</t>
  </si>
  <si>
    <t>Kennett and Georges (1990; Herpetologica 46:22-33)</t>
  </si>
  <si>
    <t>Colombia, Brazil</t>
  </si>
  <si>
    <t>Landers et al. (1980; Herpetologica 36:353-361).</t>
  </si>
  <si>
    <t>Kancahnabui, Thailand</t>
  </si>
  <si>
    <t>Thailand</t>
  </si>
  <si>
    <t>Deum, Sudan</t>
  </si>
  <si>
    <t>Malabar</t>
  </si>
  <si>
    <t>S. India</t>
  </si>
  <si>
    <t>Lepidochelys olivacea</t>
  </si>
  <si>
    <t>Oaxaca, MX</t>
  </si>
  <si>
    <t>Arizona (Montezuma Well)</t>
  </si>
  <si>
    <t>Venezuela, San Carlos de Rio Negro</t>
  </si>
  <si>
    <t>S. Africa</t>
  </si>
  <si>
    <t>Faradje, East Africa (Congo)</t>
  </si>
  <si>
    <t>North Argentina</t>
  </si>
  <si>
    <t>Cano Madre Vieja, Venezuela</t>
  </si>
  <si>
    <t>Playa del Medio, Edo, Apure</t>
  </si>
  <si>
    <t>Plymouth, Massachusetts</t>
  </si>
  <si>
    <t>Pacific Mexico</t>
  </si>
  <si>
    <t>Oviedo, Florida</t>
  </si>
  <si>
    <t>Little Watebic Pond, Cumberland, CO. Maine</t>
  </si>
  <si>
    <t>Grassy Swamp Lake, Virginia</t>
  </si>
  <si>
    <t>Argentiera, Sardinien</t>
  </si>
  <si>
    <t>SC</t>
  </si>
  <si>
    <t>Lovich et al. (2018. In Ecology and Conservation of the Diamond-backed Terrapin).</t>
  </si>
  <si>
    <t>Rhode Island</t>
  </si>
  <si>
    <t>New Jersey</t>
  </si>
  <si>
    <t xml:space="preserve">captive </t>
  </si>
  <si>
    <t>uo to 4</t>
  </si>
  <si>
    <t>up to 5</t>
  </si>
  <si>
    <t>3-4+</t>
  </si>
  <si>
    <t>Pelodiscus c.f. sinensis</t>
  </si>
  <si>
    <t>Trachemys scripta</t>
  </si>
  <si>
    <t>Par Pond, SREL SC</t>
  </si>
  <si>
    <t>Kiawah Island, Caper Island, SC</t>
  </si>
  <si>
    <t>Lodge Lake, SC</t>
  </si>
  <si>
    <t>Kearse Bay, SC</t>
  </si>
  <si>
    <t>Steel Creek, SC</t>
  </si>
  <si>
    <t>Ellenton Bay, SC</t>
  </si>
  <si>
    <t>Source</t>
  </si>
  <si>
    <t>various</t>
  </si>
  <si>
    <t>Indiana</t>
  </si>
  <si>
    <t>Iverson et al. 2019</t>
  </si>
  <si>
    <t>New York</t>
  </si>
  <si>
    <t>Georgia</t>
  </si>
  <si>
    <t>Iverson, unpublished</t>
  </si>
  <si>
    <t>Vietnam</t>
  </si>
  <si>
    <t>Portugal</t>
  </si>
  <si>
    <t>Sri Lanka</t>
  </si>
  <si>
    <t>Deraniyagala 1939</t>
  </si>
  <si>
    <t>Carettochelys</t>
  </si>
  <si>
    <t>insculpta</t>
  </si>
  <si>
    <t>Chelonia</t>
  </si>
  <si>
    <t>mydas</t>
  </si>
  <si>
    <t>Chelydra</t>
  </si>
  <si>
    <t>serpentina</t>
  </si>
  <si>
    <t>Macrochelys</t>
  </si>
  <si>
    <t>temminckii</t>
  </si>
  <si>
    <t>Dermatemys</t>
  </si>
  <si>
    <t>mawii</t>
  </si>
  <si>
    <t>Dermochelys</t>
  </si>
  <si>
    <t>coriacea</t>
  </si>
  <si>
    <t>Batagur</t>
  </si>
  <si>
    <t>baska</t>
  </si>
  <si>
    <t>borneoensis</t>
  </si>
  <si>
    <t>Mauremys</t>
  </si>
  <si>
    <t>reevesii</t>
  </si>
  <si>
    <t>Cuora</t>
  </si>
  <si>
    <t>amboinensis</t>
  </si>
  <si>
    <t>flavomarginata</t>
  </si>
  <si>
    <t>mccordi</t>
  </si>
  <si>
    <t>pani</t>
  </si>
  <si>
    <t>trifasciata</t>
  </si>
  <si>
    <t>Cyclemys</t>
  </si>
  <si>
    <t>dentata</t>
  </si>
  <si>
    <t>grandis</t>
  </si>
  <si>
    <t>Heosemys</t>
  </si>
  <si>
    <t>dhongoka</t>
  </si>
  <si>
    <t>kachuga</t>
  </si>
  <si>
    <t>tecta</t>
  </si>
  <si>
    <t>Pangshura</t>
  </si>
  <si>
    <t>tentoria</t>
  </si>
  <si>
    <t>japonica</t>
  </si>
  <si>
    <t>leprosa</t>
  </si>
  <si>
    <t>mutica</t>
  </si>
  <si>
    <t>rivulata</t>
  </si>
  <si>
    <t>trijuga</t>
  </si>
  <si>
    <t>Melanochelys</t>
  </si>
  <si>
    <t>sinensis</t>
  </si>
  <si>
    <t>Orlitia</t>
  </si>
  <si>
    <t>borneensis</t>
  </si>
  <si>
    <t>annulata</t>
  </si>
  <si>
    <t>Rhinoclemmys</t>
  </si>
  <si>
    <t>areolata</t>
  </si>
  <si>
    <t>melanosterna</t>
  </si>
  <si>
    <t>nasuta</t>
  </si>
  <si>
    <t>pulcherrima</t>
  </si>
  <si>
    <t>punctularia</t>
  </si>
  <si>
    <t>Siebenrockiella</t>
  </si>
  <si>
    <t>crassicollis</t>
  </si>
  <si>
    <t xml:space="preserve">Emydidae </t>
  </si>
  <si>
    <t>picta</t>
  </si>
  <si>
    <t>Chrysemys</t>
  </si>
  <si>
    <t>Unknown</t>
  </si>
  <si>
    <t>Clemmys</t>
  </si>
  <si>
    <t>guttata</t>
  </si>
  <si>
    <t>Glyptemys</t>
  </si>
  <si>
    <t>muhlenbergii</t>
  </si>
  <si>
    <t>Deirochelys</t>
  </si>
  <si>
    <t>reticularia</t>
  </si>
  <si>
    <t>Emydoidea</t>
  </si>
  <si>
    <t>blandingii</t>
  </si>
  <si>
    <t>barbouri</t>
  </si>
  <si>
    <t>Graptemys</t>
  </si>
  <si>
    <t>flavimaculata</t>
  </si>
  <si>
    <t>geographica</t>
  </si>
  <si>
    <t>nigrinoda</t>
  </si>
  <si>
    <t>ouachitensis</t>
  </si>
  <si>
    <t>pseudogeographica</t>
  </si>
  <si>
    <t>pulchra</t>
  </si>
  <si>
    <t>versa</t>
  </si>
  <si>
    <t>Malaclemys</t>
  </si>
  <si>
    <t>terrapin</t>
  </si>
  <si>
    <t>Pseudemys</t>
  </si>
  <si>
    <t>concinna</t>
  </si>
  <si>
    <t>decorata</t>
  </si>
  <si>
    <t>Trachemys</t>
  </si>
  <si>
    <t>peninsularis</t>
  </si>
  <si>
    <t>nelsoni</t>
  </si>
  <si>
    <t>venusta</t>
  </si>
  <si>
    <t>cataspila</t>
  </si>
  <si>
    <t>carolina</t>
  </si>
  <si>
    <t>Terrapene</t>
  </si>
  <si>
    <t>ornata</t>
  </si>
  <si>
    <t>b</t>
  </si>
  <si>
    <t>baurii</t>
  </si>
  <si>
    <t>creaseri</t>
  </si>
  <si>
    <t>flavescens</t>
  </si>
  <si>
    <t>herrerai</t>
  </si>
  <si>
    <t>hirtipes</t>
  </si>
  <si>
    <t>integrum</t>
  </si>
  <si>
    <t>leucostomum</t>
  </si>
  <si>
    <t>scorpioides</t>
  </si>
  <si>
    <t>cruentatum</t>
  </si>
  <si>
    <t>sonoriense</t>
  </si>
  <si>
    <t>subrubrum</t>
  </si>
  <si>
    <t>Sternotherus</t>
  </si>
  <si>
    <t>carinatus</t>
  </si>
  <si>
    <t>Oklahoma</t>
  </si>
  <si>
    <t>minor</t>
  </si>
  <si>
    <t>odoratus</t>
  </si>
  <si>
    <t>salvinii</t>
  </si>
  <si>
    <t>Staurotypus</t>
  </si>
  <si>
    <t>triporcatus</t>
  </si>
  <si>
    <t>Centrochelys</t>
  </si>
  <si>
    <t>sulcata</t>
  </si>
  <si>
    <t>Chelonoidis</t>
  </si>
  <si>
    <t>elegans</t>
  </si>
  <si>
    <t>Geochelone</t>
  </si>
  <si>
    <t>pardalis</t>
  </si>
  <si>
    <t>Stigmochelys</t>
  </si>
  <si>
    <t>Gopherus</t>
  </si>
  <si>
    <t>agassizii</t>
  </si>
  <si>
    <t>polyphemus</t>
  </si>
  <si>
    <t>Chersobius</t>
  </si>
  <si>
    <t>signatus</t>
  </si>
  <si>
    <t>solus</t>
  </si>
  <si>
    <t>Homopus</t>
  </si>
  <si>
    <t>femoralis</t>
  </si>
  <si>
    <t>tornieri</t>
  </si>
  <si>
    <t>Malacochersus</t>
  </si>
  <si>
    <t>travancorica</t>
  </si>
  <si>
    <t>Psammobates</t>
  </si>
  <si>
    <t>geometricus</t>
  </si>
  <si>
    <t>Pyxis</t>
  </si>
  <si>
    <t>planicauda</t>
  </si>
  <si>
    <t>Testudo</t>
  </si>
  <si>
    <t>Tunisia</t>
  </si>
  <si>
    <t>hermanni</t>
  </si>
  <si>
    <t>Lissemys</t>
  </si>
  <si>
    <t>punctata</t>
  </si>
  <si>
    <t>ferox</t>
  </si>
  <si>
    <t>Apalone</t>
  </si>
  <si>
    <t>Nilssonia</t>
  </si>
  <si>
    <t>Pelodiscus</t>
  </si>
  <si>
    <t>spinifera</t>
  </si>
  <si>
    <t>Acanthochelys</t>
  </si>
  <si>
    <t>macrocephala</t>
  </si>
  <si>
    <t>Chelodina</t>
  </si>
  <si>
    <t>expansa</t>
  </si>
  <si>
    <t xml:space="preserve">Chelidae </t>
  </si>
  <si>
    <t>longicollis</t>
  </si>
  <si>
    <t>Chelus</t>
  </si>
  <si>
    <t>fimbriata</t>
  </si>
  <si>
    <t>Elseya</t>
  </si>
  <si>
    <t>Emydura</t>
  </si>
  <si>
    <t>subglobosa</t>
  </si>
  <si>
    <t>Myuchelys</t>
  </si>
  <si>
    <t>latisternum</t>
  </si>
  <si>
    <t>geoffroanus</t>
  </si>
  <si>
    <t>Phrynops</t>
  </si>
  <si>
    <t>Mesoclemmys</t>
  </si>
  <si>
    <t>gibba</t>
  </si>
  <si>
    <t>pallidipectoris</t>
  </si>
  <si>
    <t>spixii</t>
  </si>
  <si>
    <t>platycephala</t>
  </si>
  <si>
    <t>Platemys</t>
  </si>
  <si>
    <t>Rhinemys</t>
  </si>
  <si>
    <t>rufipes</t>
  </si>
  <si>
    <t>Pelomedusa</t>
  </si>
  <si>
    <t>subrufa</t>
  </si>
  <si>
    <t>sinuatus</t>
  </si>
  <si>
    <t>Pelusios</t>
  </si>
  <si>
    <t>subniger</t>
  </si>
  <si>
    <t>Peltocephalus</t>
  </si>
  <si>
    <t>dumerilianus</t>
  </si>
  <si>
    <t>Podocnemis</t>
  </si>
  <si>
    <t>vogli</t>
  </si>
  <si>
    <t>Common Name</t>
  </si>
  <si>
    <t>Pig-Nosed Turtle</t>
  </si>
  <si>
    <t>Pantanal Swamp Turtle</t>
  </si>
  <si>
    <t>Chaco Side-necked Turtle</t>
  </si>
  <si>
    <t xml:space="preserve">Acanthochelys radiolata </t>
  </si>
  <si>
    <t>Brazilian Radiolated Swamp Turtle</t>
  </si>
  <si>
    <t>Black Spiny-necked Turtle</t>
  </si>
  <si>
    <t xml:space="preserve">Chelodina (Chelodina) canni </t>
  </si>
  <si>
    <t>Cann’s Snake-necked Turtle</t>
  </si>
  <si>
    <t xml:space="preserve">Chelodina (Chelodina) gunaleni </t>
  </si>
  <si>
    <t>Gunalen’s Snake-necked Turtle</t>
  </si>
  <si>
    <t>Chelodina (Chelodina) longicollis</t>
  </si>
  <si>
    <t>Eastern Snake-necked Turtle</t>
  </si>
  <si>
    <t>Roti Snake-necked Turtle</t>
  </si>
  <si>
    <t>Chelodina (Chelodina) novaeguineae</t>
  </si>
  <si>
    <t>New Guinea Snake-necked Turtle</t>
  </si>
  <si>
    <t>Chelodina (Chelodina) pritchardi</t>
  </si>
  <si>
    <t>Pritchard’s Snake-necked Turtle</t>
  </si>
  <si>
    <t>Chelodina (Chelodina) reimanni</t>
  </si>
  <si>
    <t>Reimann’s Snake-necked Turtle</t>
  </si>
  <si>
    <t xml:space="preserve">Chelodina (Chelodina) steindachneri </t>
  </si>
  <si>
    <t>Steindachner’s Snake-necked Turtle</t>
  </si>
  <si>
    <t xml:space="preserve">Chelodina (Macrochelodina) burrungandjii </t>
  </si>
  <si>
    <t>Arnhem Snake-necked Turtle</t>
  </si>
  <si>
    <t>Chelodina (Macrochelodina) expansa</t>
  </si>
  <si>
    <t>Broad-shelled Snake-necked Turtle</t>
  </si>
  <si>
    <t>Kuchling’s Snake-necked Turtle</t>
  </si>
  <si>
    <t>Chelodina (Macrochelodina) oblonga</t>
  </si>
  <si>
    <t>Northern Snake-necked Turtle</t>
  </si>
  <si>
    <t>Chelodina (Macrochelodina) parkeri</t>
  </si>
  <si>
    <t>Parker’s Snake-necked Turtle</t>
  </si>
  <si>
    <t>Kimberley Snake-necked Turtle</t>
  </si>
  <si>
    <t>Chelodina (Macrodiremys) colliei</t>
  </si>
  <si>
    <t>Southwestern Snake-necked Turtle</t>
  </si>
  <si>
    <t>Matamata Turtle</t>
  </si>
  <si>
    <t>Elseya (Elseya) branderhorsti</t>
  </si>
  <si>
    <t>White-bellied Snapping Turtle</t>
  </si>
  <si>
    <t>Elseya (Elseya) dentata</t>
  </si>
  <si>
    <t>Northern Snapping Turtle</t>
  </si>
  <si>
    <t>Elseya (Elseya) flaviventralis</t>
  </si>
  <si>
    <t>Yellow-bellied Snapping Turtle</t>
  </si>
  <si>
    <t>Elseya (Hanwarachelys) novaeguineae</t>
  </si>
  <si>
    <t>Western New Guinea Stream Turtle</t>
  </si>
  <si>
    <t>Bonin et al. 2006</t>
  </si>
  <si>
    <t>Elseya (Hanwarachelys) rhodini</t>
  </si>
  <si>
    <t>Southern New Guinea Stream Turtle</t>
  </si>
  <si>
    <t xml:space="preserve">Elseya (Hanwarachelys) schultzei </t>
  </si>
  <si>
    <t>Northern New Guinea Stream Turtle</t>
  </si>
  <si>
    <t>Elseya (Pelocomastes) albagula</t>
  </si>
  <si>
    <t>White-throated Snapping Turtle</t>
  </si>
  <si>
    <t>Elseya (Pelocomastes) irwini</t>
  </si>
  <si>
    <t>Irwin’s Snapping Turtle</t>
  </si>
  <si>
    <t>Elseya (Pelocomastes) lavarackorum</t>
  </si>
  <si>
    <t>Riversleigh Snapping Turtle</t>
  </si>
  <si>
    <t>Mary River Turtle</t>
  </si>
  <si>
    <t>Eastern Short-necked Turtle</t>
  </si>
  <si>
    <t>Red-bellied Short-necked Turtle</t>
  </si>
  <si>
    <t>Northern Yellow-faced Turtle</t>
  </si>
  <si>
    <t>Northern Red-faced Turtle</t>
  </si>
  <si>
    <t>Brazilian Snake-necked Turtle</t>
  </si>
  <si>
    <t>South American Snake-necked Turtle</t>
  </si>
  <si>
    <t>Dahl’s Toad-headed Turtle</t>
  </si>
  <si>
    <t>Gibba Turtle</t>
  </si>
  <si>
    <t>Yellow-crowned Toad-headed Turtle</t>
  </si>
  <si>
    <t>Hoge’s Side-necked Turtle</t>
  </si>
  <si>
    <t>Guyanan Toad-headed Turtle</t>
  </si>
  <si>
    <t>Cerrado Side-necked Turtle</t>
  </si>
  <si>
    <t>Amazon Toad-headed Turtle</t>
  </si>
  <si>
    <t>Tuberculate Toad-headed Turtle</t>
  </si>
  <si>
    <t>Vanderhaege’s Toad-headed Turtle</t>
  </si>
  <si>
    <t xml:space="preserve">Mesoclemmys zuliae </t>
  </si>
  <si>
    <t>Zulia Toad-headed Turtle</t>
  </si>
  <si>
    <t>Bell’s Sawshelled Turtle</t>
  </si>
  <si>
    <t>Bellinger River Sawshelled Turtle</t>
  </si>
  <si>
    <t>Sawshelled Turtle</t>
  </si>
  <si>
    <t>Manning River Sawshelled Turtle</t>
  </si>
  <si>
    <t xml:space="preserve">Phrynops geoffroanus </t>
  </si>
  <si>
    <t>Geoffroy’s Side-necked Turtle</t>
  </si>
  <si>
    <t>Saint-Hilaire’s Side-necked Turtle</t>
  </si>
  <si>
    <t>Guianan Shield Side-necked Turtle</t>
  </si>
  <si>
    <t>Williams’ Side-necked Turtle</t>
  </si>
  <si>
    <t>Twist-necked Turtle</t>
  </si>
  <si>
    <t>Western Swamp Turtle</t>
  </si>
  <si>
    <t>Fitzroy River Turtle</t>
  </si>
  <si>
    <t>Red Side-necked Turtle</t>
  </si>
  <si>
    <t>South American Snapping Turtle</t>
  </si>
  <si>
    <t>Central American Snapping Turtle</t>
  </si>
  <si>
    <t>North American Snapping Turtle</t>
  </si>
  <si>
    <t>Suwannee Alligator Snapping Turtle</t>
  </si>
  <si>
    <t>Western Alligator Snapping Turtle</t>
  </si>
  <si>
    <t>Central American River Turtle</t>
  </si>
  <si>
    <t>Northern Pacific Pond Turtle</t>
  </si>
  <si>
    <t>Southern Pacific Pond Turtle</t>
  </si>
  <si>
    <t>Southern Painted Turtle</t>
  </si>
  <si>
    <t>Painted Turtle</t>
  </si>
  <si>
    <t>Spotted Turtle</t>
  </si>
  <si>
    <t>Chicken Turtle</t>
  </si>
  <si>
    <t>Blanding’s Turtle</t>
  </si>
  <si>
    <t>European Pond Turtle</t>
  </si>
  <si>
    <t>Emys trinacris</t>
  </si>
  <si>
    <t>Sicilian Pond Turtle</t>
  </si>
  <si>
    <t>Wood Turtle</t>
  </si>
  <si>
    <t>Bog Turtle</t>
  </si>
  <si>
    <t xml:space="preserve">Graptemys barbouri </t>
  </si>
  <si>
    <t>Barbour’s Map Turtle</t>
  </si>
  <si>
    <t xml:space="preserve">Graptemys caglei </t>
  </si>
  <si>
    <t>Cagle’s Map Turtle</t>
  </si>
  <si>
    <t>Escambia Map Turtle</t>
  </si>
  <si>
    <t xml:space="preserve">Graptemys flavimaculata </t>
  </si>
  <si>
    <t>Yellow-blotched Map Turtle</t>
  </si>
  <si>
    <t xml:space="preserve">Graptemys geographica </t>
  </si>
  <si>
    <t>Northern Map Turtle</t>
  </si>
  <si>
    <t xml:space="preserve">Graptemys gibbonsi </t>
  </si>
  <si>
    <t>Pascagoula Map Turtle</t>
  </si>
  <si>
    <t xml:space="preserve">Graptemys nigrinoda </t>
  </si>
  <si>
    <t>Black-knobbed Map Turtle</t>
  </si>
  <si>
    <t xml:space="preserve">Graptemys oculifera </t>
  </si>
  <si>
    <t>Ringed Map Turtle</t>
  </si>
  <si>
    <t>Ouachita Map Turtle</t>
  </si>
  <si>
    <t xml:space="preserve">Graptemys pearlensis </t>
  </si>
  <si>
    <t>Pearl River Map Turtle</t>
  </si>
  <si>
    <t xml:space="preserve">Graptemys pseudogeographica </t>
  </si>
  <si>
    <t>False Map Turtle</t>
  </si>
  <si>
    <t xml:space="preserve">Graptemys pulchra </t>
  </si>
  <si>
    <t>Alabama Map Turtle</t>
  </si>
  <si>
    <t>Sabine Map Turtle</t>
  </si>
  <si>
    <t>Texas Map Turtle</t>
  </si>
  <si>
    <t xml:space="preserve">Malaclemys terrapin </t>
  </si>
  <si>
    <t>Diamondback Terrapin</t>
  </si>
  <si>
    <t>Alabama Red-bellied Cooter</t>
  </si>
  <si>
    <t>River Cooter</t>
  </si>
  <si>
    <t>Coastal Plain Cooter</t>
  </si>
  <si>
    <t xml:space="preserve">Pseudemys gorzugi </t>
  </si>
  <si>
    <t>Rio Grande Cooter</t>
  </si>
  <si>
    <t xml:space="preserve">Pseudemys nelsoni </t>
  </si>
  <si>
    <t>Florida Red-bellied Cooter</t>
  </si>
  <si>
    <t>Peninsula Cooter</t>
  </si>
  <si>
    <t>Northern Red-bellied Cooter</t>
  </si>
  <si>
    <t xml:space="preserve">Pseudemys texana </t>
  </si>
  <si>
    <t>Texas Cooter</t>
  </si>
  <si>
    <t>Common Box Turtle</t>
  </si>
  <si>
    <t xml:space="preserve">Terrapene coahuila </t>
  </si>
  <si>
    <t>Coahuilan Box Turtle</t>
  </si>
  <si>
    <t xml:space="preserve">Terrapene nelsoni </t>
  </si>
  <si>
    <t>Spotted Box Turtle</t>
  </si>
  <si>
    <t xml:space="preserve">Terrapene ornata </t>
  </si>
  <si>
    <t>Ornate Box Turtle</t>
  </si>
  <si>
    <t>Maranhao Slider</t>
  </si>
  <si>
    <t>Colombian Slider</t>
  </si>
  <si>
    <t xml:space="preserve">Trachemys decorata </t>
  </si>
  <si>
    <t>Hispaniolan Slider</t>
  </si>
  <si>
    <t>Cuban Slider</t>
  </si>
  <si>
    <t>D’Orbigny’s Slider</t>
  </si>
  <si>
    <t>Big Bend Slider</t>
  </si>
  <si>
    <t xml:space="preserve">Trachemys grayi </t>
  </si>
  <si>
    <t>Western Meso-American Slider</t>
  </si>
  <si>
    <t>Trachemys medemi</t>
  </si>
  <si>
    <t>Atrato Slider</t>
  </si>
  <si>
    <t>Baja California Slider</t>
  </si>
  <si>
    <t xml:space="preserve">Trachemys ornata </t>
  </si>
  <si>
    <t>Ornate Slider</t>
  </si>
  <si>
    <t xml:space="preserve">Trachemys scripta </t>
  </si>
  <si>
    <t>Pond Slider</t>
  </si>
  <si>
    <t xml:space="preserve">Trachemys stejnegeri </t>
  </si>
  <si>
    <t>Central Antillean Slider</t>
  </si>
  <si>
    <t xml:space="preserve">Trachemys taylori </t>
  </si>
  <si>
    <t>Cuatro Cienegas Slider</t>
  </si>
  <si>
    <t xml:space="preserve">Trachemys terrapen </t>
  </si>
  <si>
    <t>Jamaican Slider</t>
  </si>
  <si>
    <t xml:space="preserve">Trachemys venusta </t>
  </si>
  <si>
    <t>Eastern Meso-American Slider</t>
  </si>
  <si>
    <t>Yaqui Slider</t>
  </si>
  <si>
    <t xml:space="preserve">Geoemydidae </t>
  </si>
  <si>
    <t xml:space="preserve">Batagur affinis </t>
  </si>
  <si>
    <t>Southern River Terrapin</t>
  </si>
  <si>
    <t>Northern River Terrapin</t>
  </si>
  <si>
    <t xml:space="preserve">Batagur borneoensis </t>
  </si>
  <si>
    <t>Painted Terrapin</t>
  </si>
  <si>
    <t xml:space="preserve">Batagur dhongoka </t>
  </si>
  <si>
    <t>Three-striped Roofed Turtle</t>
  </si>
  <si>
    <t>Red-crowned Roofed Turtle</t>
  </si>
  <si>
    <t>Burmese Roofed Turtle</t>
  </si>
  <si>
    <t>Southeast Asian Box Turtle</t>
  </si>
  <si>
    <t xml:space="preserve">Cuora aurocapitata </t>
  </si>
  <si>
    <t>Yellow-headed Box Turtle</t>
  </si>
  <si>
    <t xml:space="preserve">Cuora bourreti </t>
  </si>
  <si>
    <t>Bourret’s Box Turtle</t>
  </si>
  <si>
    <t>Vietnamese Three-striped Box Turtle</t>
  </si>
  <si>
    <t xml:space="preserve">Cuora flavomarginata </t>
  </si>
  <si>
    <t>Yellow-margined Box Turtle</t>
  </si>
  <si>
    <t xml:space="preserve">Cuora galbinifrons </t>
  </si>
  <si>
    <t>Indochinese Box Turtle</t>
  </si>
  <si>
    <t xml:space="preserve">Cuora mccordi </t>
  </si>
  <si>
    <t>McCord’s Box Turtle</t>
  </si>
  <si>
    <t>Keeled Box Turtle</t>
  </si>
  <si>
    <t>Pan’s Box Turtle</t>
  </si>
  <si>
    <t xml:space="preserve">Cuora picturata </t>
  </si>
  <si>
    <t>Southern Vietnam Box Turtle</t>
  </si>
  <si>
    <t xml:space="preserve">Cuora trifasciata </t>
  </si>
  <si>
    <t>Chinese Three-striped Box Turtle</t>
  </si>
  <si>
    <t xml:space="preserve">Cuora yunnanensis </t>
  </si>
  <si>
    <t>Yunnan Box Turtle</t>
  </si>
  <si>
    <t>Zhou’s Box Turtle</t>
  </si>
  <si>
    <t>Western Black-bridged Leaf Turtle</t>
  </si>
  <si>
    <t xml:space="preserve">Cyclemys dentata </t>
  </si>
  <si>
    <t>Asian Leaf Turtle</t>
  </si>
  <si>
    <t>Enigmatic Leaf Turtle</t>
  </si>
  <si>
    <t xml:space="preserve">Cyclemys fusca </t>
  </si>
  <si>
    <t>Myanmar Brown Leaf Turtle</t>
  </si>
  <si>
    <t xml:space="preserve">Cyclemys gemeli </t>
  </si>
  <si>
    <t>Assam Leaf Turtle</t>
  </si>
  <si>
    <t xml:space="preserve">Cyclemys oldhamii </t>
  </si>
  <si>
    <t>Southeast Asian Leaf Turtle</t>
  </si>
  <si>
    <t xml:space="preserve">Cyclemys pulchristriata </t>
  </si>
  <si>
    <t>Eastern Black-bridged Leaf Turtle</t>
  </si>
  <si>
    <t xml:space="preserve">Geoclemys hamiltonii </t>
  </si>
  <si>
    <t>Spotted Pond Turtle</t>
  </si>
  <si>
    <t>Ryukyu Black-breasted Leaf Turtle</t>
  </si>
  <si>
    <t xml:space="preserve">Geoemyda spengleri </t>
  </si>
  <si>
    <t>Black-breasted Leaf Turtle</t>
  </si>
  <si>
    <t xml:space="preserve">Hardella thurjii </t>
  </si>
  <si>
    <t>Crowned River Turtle</t>
  </si>
  <si>
    <t xml:space="preserve">Heosemys annandalii </t>
  </si>
  <si>
    <t>Yellow-headed Temple Turtle</t>
  </si>
  <si>
    <t>Arakan Forest Turtle</t>
  </si>
  <si>
    <t>Giant Asian Pond Turtle</t>
  </si>
  <si>
    <t>Spiny Turtle</t>
  </si>
  <si>
    <t>Sulawesi Forest Turtle</t>
  </si>
  <si>
    <t>Khorat Snail-eating Turtle</t>
  </si>
  <si>
    <t>Malayan Snail-eating Turtle</t>
  </si>
  <si>
    <t>Mekong Snail-eating Turtle</t>
  </si>
  <si>
    <t xml:space="preserve">Mauremys annamensis </t>
  </si>
  <si>
    <t>Vietnamese Pond Turtle</t>
  </si>
  <si>
    <t xml:space="preserve">Mauremys caspica </t>
  </si>
  <si>
    <t>Caspian Turtle</t>
  </si>
  <si>
    <t xml:space="preserve">Mauremys japonica </t>
  </si>
  <si>
    <t>Japanese Pond Turtle</t>
  </si>
  <si>
    <t xml:space="preserve">Mauremys leprosa </t>
  </si>
  <si>
    <t>Mediterranean Pond Turtle</t>
  </si>
  <si>
    <t>Yellow Pond Turtle</t>
  </si>
  <si>
    <t>Chinese Red-necked Turtle</t>
  </si>
  <si>
    <t xml:space="preserve">Mauremys reevesii </t>
  </si>
  <si>
    <t>Reeves’ Turtle</t>
  </si>
  <si>
    <t>Western Caspian Turtle</t>
  </si>
  <si>
    <t xml:space="preserve">Mauremys sinensis </t>
  </si>
  <si>
    <t>Chinese Stripe-necked Turtle</t>
  </si>
  <si>
    <t>Tricarinate Hill Turtle</t>
  </si>
  <si>
    <t>Indian Black Turtle</t>
  </si>
  <si>
    <t>Burmese Eyed Turtle</t>
  </si>
  <si>
    <t>Indian Eyed Turtle</t>
  </si>
  <si>
    <t>Malayan Flat-shelled Turtle</t>
  </si>
  <si>
    <t xml:space="preserve">Orlitia borneensis </t>
  </si>
  <si>
    <t>Malaysian Giant Turtle</t>
  </si>
  <si>
    <t>Brown Roofed Turtle</t>
  </si>
  <si>
    <t>Assam Roofed Turtle</t>
  </si>
  <si>
    <t>Indian Roofed Turtle</t>
  </si>
  <si>
    <t>Indian Tent Turtle</t>
  </si>
  <si>
    <t>Brown Wood Turtle</t>
  </si>
  <si>
    <t>Furrowed Wood Turtle</t>
  </si>
  <si>
    <t>Maracaibo Wood Turtle</t>
  </si>
  <si>
    <t>Black Wood Turtle</t>
  </si>
  <si>
    <t xml:space="preserve">Rhinoclemmys melanosterna </t>
  </si>
  <si>
    <t>Colombian Wood Turtle</t>
  </si>
  <si>
    <t>Large-nosed Wood Turtle</t>
  </si>
  <si>
    <t>Painted Wood Turtle</t>
  </si>
  <si>
    <t xml:space="preserve">Rhinoclemmys punctularia </t>
  </si>
  <si>
    <t>Spot-legged Turtle</t>
  </si>
  <si>
    <t>Mexican Spotted Wood Turtle</t>
  </si>
  <si>
    <t>Beale’s Eyed Turtle</t>
  </si>
  <si>
    <t>Four-eyed Turtle</t>
  </si>
  <si>
    <t xml:space="preserve">Siebenrockiella crassicollis </t>
  </si>
  <si>
    <t>Black Marsh Turtle</t>
  </si>
  <si>
    <t>Palawan Forest Turtle</t>
  </si>
  <si>
    <t>Cochin Forest Cane Turtle</t>
  </si>
  <si>
    <t xml:space="preserve">Kinosternidae </t>
  </si>
  <si>
    <t>Narrow-bridged Musk Turtle</t>
  </si>
  <si>
    <t>Central Chiapas Mud Turtle</t>
  </si>
  <si>
    <t xml:space="preserve">Kinosternon acutum </t>
  </si>
  <si>
    <t>Tabasco Mud Turtle</t>
  </si>
  <si>
    <t>Alamos Mud Turtle</t>
  </si>
  <si>
    <t>Narrow-bridged Mud Turtle</t>
  </si>
  <si>
    <t>Striped Mud Turtle</t>
  </si>
  <si>
    <t xml:space="preserve">Kinosternon chimalhuaca </t>
  </si>
  <si>
    <t>Jalisco Mud Turtle</t>
  </si>
  <si>
    <t>Creaser’s Mud Turtle</t>
  </si>
  <si>
    <t>Dunn’s Mud Turtle</t>
  </si>
  <si>
    <t xml:space="preserve">Kinosternon durangoense </t>
  </si>
  <si>
    <t>Durango Mud Turtle</t>
  </si>
  <si>
    <t xml:space="preserve">Kinosternon flavescens </t>
  </si>
  <si>
    <t>Yellow Mud Turtle</t>
  </si>
  <si>
    <t>Herrera’s Mud Turtle</t>
  </si>
  <si>
    <t xml:space="preserve">Kinosternon hirtipes </t>
  </si>
  <si>
    <t>Rough-footed Mud Turtle</t>
  </si>
  <si>
    <t>Mexican Mud Turtle</t>
  </si>
  <si>
    <t>White-lipped Mud Turtle</t>
  </si>
  <si>
    <t>Oaxaca Mud Turtle</t>
  </si>
  <si>
    <t>Scorpion Mud Turtle</t>
  </si>
  <si>
    <t>Sonora Mud Turtle</t>
  </si>
  <si>
    <t>Florida Mud Turtle</t>
  </si>
  <si>
    <t>Arizona Mud Turtle</t>
  </si>
  <si>
    <t xml:space="preserve">Kinosternon subrubrum </t>
  </si>
  <si>
    <t>Eastern Mud Turtle</t>
  </si>
  <si>
    <t>Kinosternon vogti</t>
  </si>
  <si>
    <t>Vallarta Mud Turtle</t>
  </si>
  <si>
    <t>Pacific Coast Giant Musk Turtle</t>
  </si>
  <si>
    <t>Northern Giant Musk Turtle</t>
  </si>
  <si>
    <t>Razor-backed Musk Turtle</t>
  </si>
  <si>
    <t xml:space="preserve">Sternotherus depressus </t>
  </si>
  <si>
    <t>Flattened Musk Turtle</t>
  </si>
  <si>
    <t>Sternotherus intermedius</t>
  </si>
  <si>
    <t>Intermediate Musk Turtle</t>
  </si>
  <si>
    <t>Loggerhead Musk Turtle</t>
  </si>
  <si>
    <t>Common Musk Turtle</t>
  </si>
  <si>
    <t>Ernst and Lovich 2009</t>
  </si>
  <si>
    <t>Sternotherus peltifer</t>
  </si>
  <si>
    <t>Stripe-necked Musk Turtle</t>
  </si>
  <si>
    <t>Arabian Helmeted Turtle</t>
  </si>
  <si>
    <t>South African Helmeted Turtle</t>
  </si>
  <si>
    <t>Eritrean Helmeted Turtle</t>
  </si>
  <si>
    <t xml:space="preserve">Pelomedusa kobe </t>
  </si>
  <si>
    <t>Tanzanian Helmeted Turtle</t>
  </si>
  <si>
    <t xml:space="preserve">Pelomedusa neumanni </t>
  </si>
  <si>
    <t>Neumann’s Helmeted Turtle</t>
  </si>
  <si>
    <t xml:space="preserve">Pelomedusa olivacea </t>
  </si>
  <si>
    <t>Sahelian Helmeted Turtle</t>
  </si>
  <si>
    <t>Schweinfurth’s Helmeted Turtle</t>
  </si>
  <si>
    <t>Somalian Helmeted Turtle</t>
  </si>
  <si>
    <t>Helmeted Turtle</t>
  </si>
  <si>
    <t>West African Helmeted Turtle</t>
  </si>
  <si>
    <t>Adanson’s Mud Turtle</t>
  </si>
  <si>
    <t>Okavango Mud Turtle</t>
  </si>
  <si>
    <t>Turkana Mud Turtle</t>
  </si>
  <si>
    <t>African Keeled Mud Turtle</t>
  </si>
  <si>
    <t>African Mud Turtle</t>
  </si>
  <si>
    <t xml:space="preserve">Pelusios castanoides </t>
  </si>
  <si>
    <t>Yellow-bellied Mud Turtle</t>
  </si>
  <si>
    <t>Central African Mud Turtle</t>
  </si>
  <si>
    <t>Ivory Coast Mud Turtle</t>
  </si>
  <si>
    <t>African Forest Turtle</t>
  </si>
  <si>
    <t>Gabon Mud Turtle</t>
  </si>
  <si>
    <t xml:space="preserve">Pelusios nanus </t>
  </si>
  <si>
    <t>African Dwarf Mud Turtle</t>
  </si>
  <si>
    <t>West African Black Mud Turtle</t>
  </si>
  <si>
    <t xml:space="preserve">Pelusios rhodesianus </t>
  </si>
  <si>
    <t>Variable Mud Turtle</t>
  </si>
  <si>
    <t>Serrated Hinged Terrapin</t>
  </si>
  <si>
    <t xml:space="preserve">Pelusios subniger </t>
  </si>
  <si>
    <t>East African Black Mud Turtle</t>
  </si>
  <si>
    <t>Upemba Mud Turtle</t>
  </si>
  <si>
    <t>Williams’ Mud Turtle</t>
  </si>
  <si>
    <t xml:space="preserve">Platysternidae </t>
  </si>
  <si>
    <t xml:space="preserve">Platysternon megacephalum </t>
  </si>
  <si>
    <t>Big-headed Turtle</t>
  </si>
  <si>
    <t>Madagascan Big-headed Turtle</t>
  </si>
  <si>
    <t>Big-headed Sideneck Turtle</t>
  </si>
  <si>
    <t xml:space="preserve">Podocnemis erythrocephala </t>
  </si>
  <si>
    <t>Red-headed Amazon River Turtle</t>
  </si>
  <si>
    <t>Giant South American River Turtle</t>
  </si>
  <si>
    <t>Magdalena River Turtle</t>
  </si>
  <si>
    <t>Six-tubercled Amazon River Turtle</t>
  </si>
  <si>
    <t>Yellow-spotted River Turtle</t>
  </si>
  <si>
    <t>Savanna Sideneck Turtle</t>
  </si>
  <si>
    <t>Aldabra Giant Tortoise</t>
  </si>
  <si>
    <t>Radiated Tortoise</t>
  </si>
  <si>
    <t>Ploughshare Tortoise</t>
  </si>
  <si>
    <t>African Spurred Tortoise</t>
  </si>
  <si>
    <t>Chelonoidis abingdonii</t>
  </si>
  <si>
    <t>Pinta Giant Tortoise</t>
  </si>
  <si>
    <t xml:space="preserve">Chelonoidis becki </t>
  </si>
  <si>
    <t>Volcán Wolf Giant Tortoise</t>
  </si>
  <si>
    <t>Chelonoidis carbonarius</t>
  </si>
  <si>
    <t>Red-footed Tortoise</t>
  </si>
  <si>
    <t>San Cristóbal Giant Tortoise</t>
  </si>
  <si>
    <t>Chaco Tortoise</t>
  </si>
  <si>
    <t xml:space="preserve">Chelonoidis darwini </t>
  </si>
  <si>
    <t>Santiago Giant Tortoise</t>
  </si>
  <si>
    <t xml:space="preserve">Chelonoidis denticulatus </t>
  </si>
  <si>
    <t>Yellow-footed Tortoise</t>
  </si>
  <si>
    <t>Eastern Santa Cruz Giant Tortoise</t>
  </si>
  <si>
    <t xml:space="preserve">Chelonoidis duncanensis </t>
  </si>
  <si>
    <t>Pinzón Giant Tortoise</t>
  </si>
  <si>
    <t>Sierra Negra Giant Tortoise</t>
  </si>
  <si>
    <t xml:space="preserve">Chelonoidis hoodensis </t>
  </si>
  <si>
    <t>Española Giant Tortoise</t>
  </si>
  <si>
    <t>Volcán Darwin Giant Tortoise</t>
  </si>
  <si>
    <t xml:space="preserve">Chelonoidis niger </t>
  </si>
  <si>
    <t>Floreana Giant Tortoise</t>
  </si>
  <si>
    <t xml:space="preserve">Chelonoidis phantasticus </t>
  </si>
  <si>
    <t>Fernandina Giant Tortoise</t>
  </si>
  <si>
    <t xml:space="preserve">Chelonoidis porteri </t>
  </si>
  <si>
    <t>Western Santa Cruz Giant Tortoise</t>
  </si>
  <si>
    <t>Volcán Alcedo Giant Tortoise</t>
  </si>
  <si>
    <t>Cerro Azul Giant Tortoise</t>
  </si>
  <si>
    <t>Angulate Tortoise</t>
  </si>
  <si>
    <t>Karoo Dwarf Tortoise</t>
  </si>
  <si>
    <t>Speckled Tortoise</t>
  </si>
  <si>
    <t xml:space="preserve">Chersobius solus </t>
  </si>
  <si>
    <t>Nama Tortoise</t>
  </si>
  <si>
    <t xml:space="preserve">Cylindraspis indica </t>
  </si>
  <si>
    <t>Reunion Giant Tortoise</t>
  </si>
  <si>
    <t xml:space="preserve">Cylindraspis inepta </t>
  </si>
  <si>
    <t>Mauritius Giant Domed Tortoise</t>
  </si>
  <si>
    <t xml:space="preserve">Cylindraspis peltastes </t>
  </si>
  <si>
    <t>Rodrigues Domed Tortoise</t>
  </si>
  <si>
    <t>Cylindraspis triserrata</t>
  </si>
  <si>
    <t>Mauritius Giant Flat-shelled Tortoise</t>
  </si>
  <si>
    <t xml:space="preserve">Cylindraspis vosmaeri </t>
  </si>
  <si>
    <t>Rodrigues Giant Saddleback Tortoise</t>
  </si>
  <si>
    <t>Indian Star Tortoise</t>
  </si>
  <si>
    <t>Burmese Star Tortoise</t>
  </si>
  <si>
    <t>Mojave Desert Tortoise</t>
  </si>
  <si>
    <t>Texas Tortoise</t>
  </si>
  <si>
    <t>Goode’s Thornscrub Tortoise</t>
  </si>
  <si>
    <t>Bolson Tortoise</t>
  </si>
  <si>
    <t>Sonoran Desert Tortoise</t>
  </si>
  <si>
    <t>Gopher Tortoise</t>
  </si>
  <si>
    <t>Parrot-beaked Tortoise</t>
  </si>
  <si>
    <t>Greater Dwarf Tortoise</t>
  </si>
  <si>
    <t xml:space="preserve">Indotestudo elongata </t>
  </si>
  <si>
    <t>Elongated Tortoise</t>
  </si>
  <si>
    <t>Forsten’s Tortoise</t>
  </si>
  <si>
    <t>Travancore Tortoise</t>
  </si>
  <si>
    <t>Bell’s Hinge-back Tortoise</t>
  </si>
  <si>
    <t>Forest Hinge-back Tortoise</t>
  </si>
  <si>
    <t>Home’s Hinge-back Tortoise</t>
  </si>
  <si>
    <t>Lobatse Hinge-back Tortoise</t>
  </si>
  <si>
    <t>Natal Hinge-back Tortoise</t>
  </si>
  <si>
    <t>Western Hinge-back Tortoise</t>
  </si>
  <si>
    <t>Speke’s Hinge-back Tortoise</t>
  </si>
  <si>
    <t>Southeastern Hinge-back Tortoise</t>
  </si>
  <si>
    <t>Pancake Tortoise</t>
  </si>
  <si>
    <t>Asian Giant Tortoise</t>
  </si>
  <si>
    <t>Impressed Tortoise</t>
  </si>
  <si>
    <t>Geometric Tortoise</t>
  </si>
  <si>
    <t>Serrated Tent Tortoise</t>
  </si>
  <si>
    <t>Tent Tortoise</t>
  </si>
  <si>
    <t>Spider Tortoise</t>
  </si>
  <si>
    <t>Flat-tailed Tortoise</t>
  </si>
  <si>
    <t>Leopard Tortoise</t>
  </si>
  <si>
    <t>Testudo (Agrionemys) horsfieldii</t>
  </si>
  <si>
    <t>Central Asian Tortoise</t>
  </si>
  <si>
    <t>Testudo (Chersine) hermanni</t>
  </si>
  <si>
    <t>Hermann’s Tortoise</t>
  </si>
  <si>
    <t xml:space="preserve">Testudo (Testudo) graeca </t>
  </si>
  <si>
    <t>Spur-thighed Tortoise</t>
  </si>
  <si>
    <t>Testudo (Testudo) kleinmanni</t>
  </si>
  <si>
    <t>Egyptian Tortoise</t>
  </si>
  <si>
    <t xml:space="preserve">Testudo (Testudo) marginata </t>
  </si>
  <si>
    <t>Marginated Tortoise</t>
  </si>
  <si>
    <t>Malayan Softshell Turtle</t>
  </si>
  <si>
    <t>Southeast Asian Softshell Turtle</t>
  </si>
  <si>
    <t>Florida Softshell Turtle</t>
  </si>
  <si>
    <t>Smooth Softshell Turtle</t>
  </si>
  <si>
    <t>Spiny Softshell Turtle</t>
  </si>
  <si>
    <t>Asian Narrow-headed Softshell Turtle</t>
  </si>
  <si>
    <t xml:space="preserve">Chitra indica </t>
  </si>
  <si>
    <t>Indian Narrow-headed Softshell Turtle</t>
  </si>
  <si>
    <t>Burmese Narrow-headed Softshell Turtle</t>
  </si>
  <si>
    <t>Nubian Flapshell Turtle</t>
  </si>
  <si>
    <t>Senegal Flapshell Turtle</t>
  </si>
  <si>
    <t>Aubry’s Flapshell Turtle</t>
  </si>
  <si>
    <t>Zambezi Flapshell Turtle</t>
  </si>
  <si>
    <t xml:space="preserve">Sri Lankan Flapshell Turtle </t>
  </si>
  <si>
    <t xml:space="preserve">Lissemys punctata </t>
  </si>
  <si>
    <t>Indian Flapshell Turtle</t>
  </si>
  <si>
    <t xml:space="preserve">Lissemys scutata </t>
  </si>
  <si>
    <t>Burmese Flapshell Turtle</t>
  </si>
  <si>
    <t>Burmese Peacock Softshell Turtle</t>
  </si>
  <si>
    <t>Indian Softshell Turtle</t>
  </si>
  <si>
    <t xml:space="preserve">Nilssonia hurum </t>
  </si>
  <si>
    <t>Indian Peacock Softshell Turtle</t>
  </si>
  <si>
    <t>Leith’s Softshell Turtle</t>
  </si>
  <si>
    <t>Black Softshell Turtle</t>
  </si>
  <si>
    <t>Wattle-necked Softshell Turtle</t>
  </si>
  <si>
    <t>New Guinea Giant Softshell Turtle</t>
  </si>
  <si>
    <t xml:space="preserve">Pelochelys cantorii </t>
  </si>
  <si>
    <t>Asian Giant Softshell Turtle</t>
  </si>
  <si>
    <t>Northern New Guinea Softshell Turtle</t>
  </si>
  <si>
    <t>Hunan Softshell Turtle</t>
  </si>
  <si>
    <t>Northern Chinese Softshell Turtle</t>
  </si>
  <si>
    <t>Vietnamese Softshell Turtle</t>
  </si>
  <si>
    <t xml:space="preserve">Pelodiscus sinensis </t>
  </si>
  <si>
    <t>Chinese Softshell Turtle</t>
  </si>
  <si>
    <t>Euphrates Softshell Turtle</t>
  </si>
  <si>
    <t>Red River Giant Softshell Turtle</t>
  </si>
  <si>
    <t>African Softshell Turtle</t>
  </si>
  <si>
    <t xml:space="preserve"> Iskandar 2000</t>
  </si>
  <si>
    <t xml:space="preserve"> Iskandar, D. T. (2000). ‘Turtles and Crocodiles of Insular Southeast Asia and New Guinea.’ (Institute of Technology: Bandung, Indonesia.)</t>
  </si>
  <si>
    <t>assumed to match A. cartilagineus</t>
  </si>
  <si>
    <t>Assumed to match C. dentata and C. oldhami</t>
  </si>
  <si>
    <t>Assumed to match cantorii</t>
  </si>
  <si>
    <t>Assumed to match P. subrufa and olivacea</t>
  </si>
  <si>
    <t>Assumed to match sinensis</t>
  </si>
  <si>
    <t>Auliya et al. 2016</t>
  </si>
  <si>
    <t>Batistella 2008</t>
  </si>
  <si>
    <t>Batistella, A.M. 2008. Biologia e Conservação de Trachemys adiutrix, Vanzolini, 1995 (Testudines, Emydidae) no estado do Maranhão. Tese de doutorado em andamento, curso de biologia de água doce e pesca interior, Instituto Nacional de Pesquisas da Amazônia__INPA.</t>
  </si>
  <si>
    <t>Bonin, F., B. Devaux, and A. Dupré. 2006, Turtles of the world Baltimore, Johns Hopkins University Press. 416 pp.; Branch, B. 2008. Tortoises, terrapins and turtles of Africa. Struik Publishers. Cape Town. 128 pp.</t>
  </si>
  <si>
    <t>Bonin, F., B. Devaux, and A. Dupré. 2006, Turtles of the world Baltimore, Johns Hopkins University Press. 416 pp.</t>
  </si>
  <si>
    <t>Bonin et al. 2006: Lehr et al. 1998; Ly et al. 2011</t>
  </si>
  <si>
    <t>Bonin et al. 2006; Branch 2008</t>
  </si>
  <si>
    <t>Branch, B. 2008. Tortoises, terrapins and turtles of Africa. Struik Publishers. Cape Town. 128 pp.</t>
  </si>
  <si>
    <t>Swingland, I. R., and M. W. E. Klemens. 1989. The conservation biology of tortoises. Occas. Pap. IUCN Species Survival Comm. 5:1-202.</t>
  </si>
  <si>
    <t>Bonin et al. 2006; Cabrera 1998</t>
  </si>
  <si>
    <t>Cabrera, MA 1998. Las tortugas continentales de sudamerica Austral.  BR Copias, Cordoba, Argentina</t>
  </si>
  <si>
    <t>Bonin et al. 2006; Cann and Sadlier 2017</t>
  </si>
  <si>
    <t>Bonin, F., B. Devaux, and A. Dupré. 2006, Turtles of the world Baltimore, Johns Hopkins University Press. 416 pp. ;Cann, J. and R. Sadlier. 2017. Freshwater turtles of Australia. CSIRO Publishing, Clayton South, Victoria, Australia (www.publish.csiro.au) and ECO Publishing and Distribution, Rodeo, New Mexico (www.ecouniverse.com). 448 pp.</t>
  </si>
  <si>
    <t>Bonin et al. 2006; Ernst and Lovich 2009</t>
  </si>
  <si>
    <t>Bonin et al. 2006; Iskandar 2000</t>
  </si>
  <si>
    <t xml:space="preserve"> Bonin, F., B. Devaux, and A. Dupré. 2006, Turtles of the world Baltimore, Johns Hopkins University Press. 416 pp.; Iskandar, D. T. (2000). ‘Turtles and Crocodiles of Insular Southeast Asia and New Guinea.’ (Institute of Technology: Bandung, Indonesia.)</t>
  </si>
  <si>
    <t>Bonin et al. 2006; Swingland and Klemens 1989</t>
  </si>
  <si>
    <t>Bonin et al. 2006; Vogt 2008</t>
  </si>
  <si>
    <t>Bour et al. in Gerlach 2014</t>
  </si>
  <si>
    <t>Branch 2008</t>
  </si>
  <si>
    <t>Branch 2008; Swingland and Klemens 1989</t>
  </si>
  <si>
    <t>Branch, B. 2008. Tortoises, terrapins and turtles of Africa. Struik Publishers. Cape Town. 128 pp.; Swingland, I. R., and M. W. E. Klemens. 1989. The conservation biology of tortoises. Occas. Pap. IUCN Species Survival Comm. 5:1-202.</t>
  </si>
  <si>
    <t>Cabrera 1998</t>
  </si>
  <si>
    <t>Cann and Sadlier 2017</t>
  </si>
  <si>
    <t>Cann, J. and R. Sadlier. 2017. Freshwater turtles of Australia. CSIRO Publishing, Clayton South, Victoria, Australia (www.publish.csiro.au) and ECO Publishing and Distribution, Rodeo, New Mexico (www.ecouniverse.com). 448 pp.</t>
  </si>
  <si>
    <t>Cann, J. and R. Sadlier. 2017. Freshwater turtles of Australia. CSIRO Publishing, Clayton South, Victoria, Australia (www.publish.csiro.au) and ECO Publishing and Distribution, Rodeo, New Mexico (www.ecouniverse.com). 448 pp.;  Iskandar, D. T. (2000). ‘Turtles and Crocodiles of Insular Southeast Asia and New Guinea.’ (Institute of Technology: Bandung, Indonesia.)</t>
  </si>
  <si>
    <t>Cann and Sadlier 2017; Tucker et al. 2012</t>
  </si>
  <si>
    <t>Chan-ard et al 2015</t>
  </si>
  <si>
    <t>Chan-ard, T., Parr, J.W.K., and Nabhitabhata, J. 2015. A field guide to the Reptiels of Thailand. Oxford University Press, New York New York, 314</t>
  </si>
  <si>
    <t>Chan-ard et al. 2015</t>
  </si>
  <si>
    <t>Das, I (1991). Colour guide to the turltes and tortoises of the Indian Subcontinent R &amp; A Publishers, Avon England</t>
  </si>
  <si>
    <t>Das 1995</t>
  </si>
  <si>
    <t>Diesmos et al. 2004</t>
  </si>
  <si>
    <t>Ernst, C. H., and R. W. Barbour. 1989, Turtles of the world. Washington, D.C., Smithsonian Institution Press. 313 pp.</t>
  </si>
  <si>
    <t>Ernst and Barbour 1989; Bonin et al. 2006</t>
  </si>
  <si>
    <t>Ernst and Barbour 1989; Lim and Das 1999</t>
  </si>
  <si>
    <t>Ernst and Barbour 1989; Souza and Martins 2009</t>
  </si>
  <si>
    <t>Ernst, C. H., and J. E. Lovich. 2009, Turtles of the United States and Canada, Second Edition. Baltimore, Johns Hopkins University Press. 827 pp.</t>
  </si>
  <si>
    <t>Ettmar 2019</t>
  </si>
  <si>
    <t>Pritchard, P. C. H., and P. trebbau. 1984. The turtles of Venezuela. Soc. Stud. Amphib. Rept. Contrib. Herpetol. 2:1-414.</t>
  </si>
  <si>
    <t>Gramentz 2011</t>
  </si>
  <si>
    <t>Guyer et al. 2015</t>
  </si>
  <si>
    <t>Hagen, C., and I. Y. S. Ching. 2005. Distribution, natural history, and exploitation of Leucocephalon yuwonoi in central Sulawesi, Indonesia. Chelonian Conservation and Biology 4:948-951.</t>
  </si>
  <si>
    <t>Henderson and Powell 2009</t>
  </si>
  <si>
    <t>Ihlow et al. 2016</t>
  </si>
  <si>
    <t>Ihlow, F., M. Vamberger, M. Flecks, T. Hartmann, M. Cota, S. Makchai, P. Meewattana et al. 2016. Integrative taxonomy of Southeast Asian snail-eating turtles (Geoemydidae: Malayemys) reveals a new species and mitochondrial introgression. PLoS ONE 11:e0153108.</t>
  </si>
  <si>
    <t>Iskandar 2000</t>
  </si>
  <si>
    <t>Legler 1965</t>
  </si>
  <si>
    <t>Legler and Vogt 2013</t>
  </si>
  <si>
    <t>Legler, J. M., and R. C. Vogt. 2013, Turtles of Mexico. Berkeley, University of California Press. 416 pp.</t>
  </si>
  <si>
    <t>Legler and Vogt 2013; Ernst and Lovich 2009</t>
  </si>
  <si>
    <t>Lim and Das 1999</t>
  </si>
  <si>
    <t>Luiselli et al. 2000</t>
  </si>
  <si>
    <t>Luiselli, L., E. Politano, and F.M. Angelici 2000. Ecological correlates of the distribution of terrestrial and freshwater chelonians in the Niger Delta, Nigeria: a biodiversity assessment with conservation implications. Revue d ecologie 55:3-23</t>
  </si>
  <si>
    <t>Moll et al. 2015</t>
  </si>
  <si>
    <t>No data</t>
  </si>
  <si>
    <t>no data</t>
  </si>
  <si>
    <t>Vargas-Ramirez, M., C. del Valle, C.P. Ceballos, and U. Fritz. 2017. Trachemys medemi n. sp. from northwestern Colombia turns the biogeography of South American slider turtles upside down. Journal of Zoological Systematics and Evolutionary Research 55:326-339.</t>
  </si>
  <si>
    <t>Ottonello et al. 2017</t>
  </si>
  <si>
    <t>Ottonello et al. (2017; Ecological Research 32:71-80)</t>
  </si>
  <si>
    <t>Paez et al. 2012</t>
  </si>
  <si>
    <t>Platt et al. 2003</t>
  </si>
  <si>
    <t>Platt, S. G., W. K. Ko, Kalyar, M. Myo, L. L. Khaing, and T. R. Rainwater. 2003. Ecology and conservation status of the Arakan forest turtle, Heosemys depressa, in western Myanmar. Chelonian Conservation and Biology 4:678-682.</t>
  </si>
  <si>
    <t>Platt et al. 2014</t>
  </si>
  <si>
    <t>Pritchard 2012</t>
  </si>
  <si>
    <t>Pritchard and Trebbau 1984</t>
  </si>
  <si>
    <t>Rhodin et al. 2008</t>
  </si>
  <si>
    <t>Rhodin et al. 2009</t>
  </si>
  <si>
    <t>Swingland and Klemens 1989</t>
  </si>
  <si>
    <t>Vogt 2008</t>
  </si>
  <si>
    <t>Zhao 1998</t>
  </si>
  <si>
    <t>Zhou and Zhou 1992</t>
  </si>
  <si>
    <t>Cabrera 1998; Bonin et al. 2006 (some animal matter)</t>
  </si>
  <si>
    <t>Auliya et al. 2016; Lim and Das 1999</t>
  </si>
  <si>
    <t>no data on diet; assumed to match A. cartilagineus</t>
  </si>
  <si>
    <t>Ernst and Lovich 2009 (but some palm seeds)</t>
  </si>
  <si>
    <t>Ernst and Lovich 2009 (but some plant seeds)</t>
  </si>
  <si>
    <t>Ernst and Lovich 2009 (but some plants); Legler and Vogt 2013 (some plant material also)</t>
  </si>
  <si>
    <t>Lim and Das 1999; Das 1995</t>
  </si>
  <si>
    <t>Das 1991, 1995; Bonin et al. 2006</t>
  </si>
  <si>
    <t>Iskandar 2000; Cann and Sadlier 2017</t>
  </si>
  <si>
    <t>Cann and Sadlier 2017 (plus maybe some algae?)</t>
  </si>
  <si>
    <t>Cann and Sadlier 2017 (rarely some plants)</t>
  </si>
  <si>
    <t>Assumed as for niger (sensu lato)</t>
  </si>
  <si>
    <t>Cabrera 1998: Swingland and Klemens 1989</t>
  </si>
  <si>
    <t>Vogt 2008; Pritchard and Trebbau 1984</t>
  </si>
  <si>
    <t>Branch 2008 (with a few insects)</t>
  </si>
  <si>
    <t>Iskandar 2000; Lim and Das 1999</t>
  </si>
  <si>
    <t>No data fide Platt et al. 2014</t>
  </si>
  <si>
    <t>Ernst and Lovich 2009 by assumption</t>
  </si>
  <si>
    <t>Iskandar 2000; Lim and Das 1999; Das 1995</t>
  </si>
  <si>
    <t>Goris and Maeda 2004; Ernst and Barbour 1989; Zhou and Zhou 1992</t>
  </si>
  <si>
    <t>Bonin et al. 2006; Zhou and Zhou 1992</t>
  </si>
  <si>
    <t>Bonin et al. 2006; Zhou and Zhou 1992 say unknown</t>
  </si>
  <si>
    <t>Das 1991; Zhou and Zhou 1992</t>
  </si>
  <si>
    <t>Ernst and Barbour 1989; Zhou and Zhou 1992</t>
  </si>
  <si>
    <t>Zhao 1998 (but in captivity); Bonin et al. 2006</t>
  </si>
  <si>
    <t>Gramentz 2008 = no data</t>
  </si>
  <si>
    <t>Lim and Das 1999; Zhou and Zhou 1992</t>
  </si>
  <si>
    <t>Das 1995 (India, as dentata)</t>
  </si>
  <si>
    <t>Schleich and Kastle 2002</t>
  </si>
  <si>
    <t>Gerlach 2014</t>
  </si>
  <si>
    <t>Cann and Sadlier 2017 no data</t>
  </si>
  <si>
    <t>Cann and Sadlier 2017 rarely animal matter</t>
  </si>
  <si>
    <t>Cann and Sadlier 2017 but mostly herbivorous</t>
  </si>
  <si>
    <t>Ernst and Lovich 2009, with a little plant material</t>
  </si>
  <si>
    <t xml:space="preserve"> Cann and Sadlier 2017 no data</t>
  </si>
  <si>
    <t>Bonin et al. 2006; but Ernst and Barbour 1989 say Carnivorous</t>
  </si>
  <si>
    <t>Kuchling and Garcia 2003</t>
  </si>
  <si>
    <t>Das 1995; Swingland and Klemens 1989 with occasional animal food</t>
  </si>
  <si>
    <t>Platt et al. 2011</t>
  </si>
  <si>
    <t>Iskandar 2000; Zhao 1998; Zhou and Zhou 1992</t>
  </si>
  <si>
    <t>Ernst and Barbour 1989; Swingland and Klemens 1989; Ernst and Lovich 2009</t>
  </si>
  <si>
    <t>Legler and Vogt 2013; Ernst and Barbour 1989; Ernst and Lovich 2009; Swingland and Klemens 1989 (occasional animal material)</t>
  </si>
  <si>
    <t>Assumed as for morafkai</t>
  </si>
  <si>
    <t>Swingland and Klemens 1989; Ernst and Lovich 2009</t>
  </si>
  <si>
    <t>Ennen et al. 2016</t>
  </si>
  <si>
    <t>Das 1991, 1995</t>
  </si>
  <si>
    <t>Iskandar 2000; Lim and Das 1999; Jensen and Das 2006</t>
  </si>
  <si>
    <t>Swingland and Klemens 1989 say no data</t>
  </si>
  <si>
    <t xml:space="preserve"> Souza and Martins 2009</t>
  </si>
  <si>
    <t>Iskandar 2000 and Swingland and Klemens 1989; Das 1995 says Omni</t>
  </si>
  <si>
    <t>Assumed to be like belliana (former synonym)</t>
  </si>
  <si>
    <t>Mesen 1998</t>
  </si>
  <si>
    <t>Iverson et al. 2012 no data</t>
  </si>
  <si>
    <t>no data but probably like arizonese/stejnegeri</t>
  </si>
  <si>
    <t>Bancroft et al. 1983</t>
  </si>
  <si>
    <t>Iskandar 2000; Das 1995</t>
  </si>
  <si>
    <t>Assumed to be like temmincki</t>
  </si>
  <si>
    <t>Assumed as for subtrijuga</t>
  </si>
  <si>
    <t>Chen and Lue 1999; Zhou and Zhou 1992; Zhao 1998 says herbivorous</t>
  </si>
  <si>
    <t>Ettmar 2019 (but only based on feces)</t>
  </si>
  <si>
    <t>Ettmar 2019 no data; Bonin et al. 2006 say maybe carnivorous</t>
  </si>
  <si>
    <t>Vogt 2008; Bonin et al. 2006; but Ettmar 2019 says Omnivorous</t>
  </si>
  <si>
    <t>Ettmar 2019 no data</t>
  </si>
  <si>
    <t>Anderson 1878</t>
  </si>
  <si>
    <t>Cann and Sadlier 2017 (solid data); Tucker et al. 2012 say carnivorous</t>
  </si>
  <si>
    <t>Lim and Das 1999; but Iskandar 2000 says Omnivorous</t>
  </si>
  <si>
    <t>Zhao 1998; Zhou and Zhou 1992</t>
  </si>
  <si>
    <t>Das 1991; Bonin et al. 2006</t>
  </si>
  <si>
    <t>Iskandar 2000; Zhou and Zhou 1992</t>
  </si>
  <si>
    <t>Assumed to be as sinensis</t>
  </si>
  <si>
    <t>Bonin et al. 2006; Zhao 1998; Zhou and Zhou 1992; Lim and Das 1999; Iskandar 2000 = Carnivorous</t>
  </si>
  <si>
    <t>Assumed to be as subrufa</t>
  </si>
  <si>
    <t>Luiselli et al. 2004</t>
  </si>
  <si>
    <t>Luiselli et al. 2004; Branch 2008</t>
  </si>
  <si>
    <t>Branch 2008 = no data</t>
  </si>
  <si>
    <t>Assumed to be same as P. adansonii (former conspecific)</t>
  </si>
  <si>
    <t>Vogt 2008; Pritchard and Trebbau 1984 say mostly carnivorous</t>
  </si>
  <si>
    <t>Ernst and Lovich 2009, but some animal matter</t>
  </si>
  <si>
    <t>Ernst and Lovich 2009, but animal matter sometimes</t>
  </si>
  <si>
    <t>Ernst and Lovich 2009; only some animal matter</t>
  </si>
  <si>
    <t>Leuteritz et al. 2013</t>
  </si>
  <si>
    <t>Taskavak et al. 2016</t>
  </si>
  <si>
    <t>Pritchard 2012 = no data</t>
  </si>
  <si>
    <t>Ettmar 2019; Vogt 2008</t>
  </si>
  <si>
    <t>Carr and Giraldo 2011 (plus little animal matter)</t>
  </si>
  <si>
    <t>Mesen 1998; Legler and Vogt 2013</t>
  </si>
  <si>
    <t>Fidenci 2004</t>
  </si>
  <si>
    <t>Legler and Vogt 2013 (does take seeds/fruits occasionally)</t>
  </si>
  <si>
    <t>Guyer et al. 2015; Ernst and Lovich 2009</t>
  </si>
  <si>
    <t>Ernst and Lovich 2009, though mostly animal matter</t>
  </si>
  <si>
    <t>Zhou and Zhou 1992; Das 1995</t>
  </si>
  <si>
    <t>Ernst and Barbour 1989; Bonin et al. 2006 but a little animal matter</t>
  </si>
  <si>
    <t>Ernst and Barbour 1989; Bonin et al. 2006 says omnivorous</t>
  </si>
  <si>
    <t>Ernst and Barbour 1989; Bonin et al. 2006 (but a little animal matter)</t>
  </si>
  <si>
    <t>Bonin et al. 2006; but Henderson and Powell 2009 say no data</t>
  </si>
  <si>
    <t>Henderson and Powell 2009; Ernst and Barbour 1989; Bonin et al. 2006 say herbivorous</t>
  </si>
  <si>
    <t>Ernst and Lovich 2009; Legler and Vogt 2013 say only occasional animal matter</t>
  </si>
  <si>
    <t>Assumed to be as callirostris</t>
  </si>
  <si>
    <t>Branch 2008; Gramentz 2005; Luiselli et al. 2004 says carnivorous</t>
  </si>
  <si>
    <t>Chelodina novaeguineae</t>
  </si>
  <si>
    <t>Grossmann and Reimann (1991, Sauria 13(2):3-6).</t>
  </si>
  <si>
    <t>up to 8</t>
  </si>
  <si>
    <t>Lin et al. (2018. PeerJ 6:e4997).</t>
  </si>
  <si>
    <t>Thomson et al. (2000; CCB 3(4):675-685).</t>
  </si>
  <si>
    <t>Kennett et al. (1992; Memories of the Queensland Museum 32:179-182).</t>
  </si>
  <si>
    <t>Booth (1998; Journal of Herpetology 32:592-596).</t>
  </si>
  <si>
    <t>Booth (1999; Proc. Linn. Society of New South Wales 121:53-59).</t>
  </si>
  <si>
    <t>Georges et al. (2006; Wildlife Research 33:373-384).</t>
  </si>
  <si>
    <t>Kennett (1999; Journal of Zoology 247: 457-473).</t>
  </si>
  <si>
    <t>Kennett (1999; Journal of Zoology 247:457-473).</t>
  </si>
  <si>
    <t>Thompson (1987; Physiological Zoology 60: 1-8).</t>
  </si>
  <si>
    <t>Blamires et al. (2005; Wildlfie Research 32:339-347).</t>
  </si>
  <si>
    <t>Lovich et al. (1983; Herpetofauna 14:95).</t>
  </si>
  <si>
    <t>Famelli et al. (2014; Chelonian Conservation and Biology 13:81-88).</t>
  </si>
  <si>
    <t>Moravec (2017; Herpetozoa 29:205-208).</t>
  </si>
  <si>
    <t>Garces-Restrepo et al. (2017; Amphibia-Reptilia 38: 351-361).</t>
  </si>
  <si>
    <t>Fielder et al. (2015; Australian Journal of Zoology 62:463-476).</t>
  </si>
  <si>
    <t>Blamires et al. (2005; Wildlife Research 32: 339-347).</t>
  </si>
  <si>
    <t>Ferreira et al. (2011; Zoologia 28:571-576).</t>
  </si>
  <si>
    <t>Souza and Abe (2001; Studies on Neotropical Fauna and Environment 36:57-62).</t>
  </si>
  <si>
    <t>Vogt (2008; Tartarugas da Amazonia. Lima: Walter H. Wust 104 pp).</t>
  </si>
  <si>
    <t>Ehrhart and Yoder (1978; Florida Marine Research Publication 33:25-30), Ehrhart (1979; Proceedings of the First Conference on Scientific Research in the National Parks vol 1), Frazer and Ehrhart (1985; Copeia 1985:73-79).</t>
  </si>
  <si>
    <t>Margouritoulis (2005; Chelonian Conservation and Biology 4:916-929).</t>
  </si>
  <si>
    <t>Azanza-Ricardo et al. (2017; Chelonian Conservation and Biology 16:12-19).</t>
  </si>
  <si>
    <t>Carr et al (1978; Bulletin of the American Museum of Natural History 162:1-46).</t>
  </si>
  <si>
    <t>Bjorndal and Carr (1989; Herpetologica 45:181-189).</t>
  </si>
  <si>
    <t>Frazer and Ehrhart (1985; Copeia 1985:73-79).</t>
  </si>
  <si>
    <t>Bellini et al. (2013; Journal of the Marine Biological Association of the United Kingdom 93:1117-1132).</t>
  </si>
  <si>
    <t>Congdon et al. (1987; Herpetologica 43:39-54).</t>
  </si>
  <si>
    <t>Iverson et al. (1997; Herpetologica 53:96-117).</t>
  </si>
  <si>
    <t>Hedrick et al. (2018; Canadian Journal of Zoology 96:221-228).</t>
  </si>
  <si>
    <t>Burke et al. (2018: Journal of Natural History 52:1723-1732).</t>
  </si>
  <si>
    <t>Finkler et al. (2004; Canadian Journal of Zoology 82:102-109).</t>
  </si>
  <si>
    <t>Aresco and Gunzburger (2007; Southeastern Naturalist 6:435-448).</t>
  </si>
  <si>
    <t>Steyermark and Spotila (2001; Functional Ecology 15:624-632).</t>
  </si>
  <si>
    <t>Brown et al. (1994; Journal of Herpetology 28:405-410).</t>
  </si>
  <si>
    <t>Congdon and Gibbons (1985; Herpetologica 41:194-205).</t>
  </si>
  <si>
    <t>Johnston et al. (2015; Chelonian Conservation and Biology 14:73-81).</t>
  </si>
  <si>
    <t>Holman (1963; Herpetologica 19:277-279).</t>
  </si>
  <si>
    <t>Briane et al. (2007; Chelonian Conservation and Biology 6:63-69).</t>
  </si>
  <si>
    <t>Martinez et al (2007; Chelonian Conservation and Biology 6:70-78).</t>
  </si>
  <si>
    <t>Piedra et al. (2007; Chelonian Conservation and Biology 6:111-116).</t>
  </si>
  <si>
    <t>Chacon et al. (1996; Revista de Biologia Tropical 44:853-860).</t>
  </si>
  <si>
    <t>Germano (2016; Copeia 104:663-676).</t>
  </si>
  <si>
    <t>Germano (2010; Southwestern Natuaralist 55:89-97).</t>
  </si>
  <si>
    <t>Lovich et al. (2016; Western North American Naturalist 76:291-297).</t>
  </si>
  <si>
    <t>Cordero et al. (2017; Integrative Zoology 12:148-156).</t>
  </si>
  <si>
    <t>Harms et al. (2005; Physiological and Biochemical Zoology: Ecological and Evolutionary Approaches 78:996-1004).</t>
  </si>
  <si>
    <t>Jackson (1988; Bulletin of the Florida State Museum Biological Sciences 33: 113-158).</t>
  </si>
  <si>
    <t>MacCulloch and Weller (1988; Canadian J. Zool 66:2317-2319).</t>
  </si>
  <si>
    <t>Ayaz et al. (2017; Acta Zoologica Bulgaria 10:23-29).</t>
  </si>
  <si>
    <t>Zuffi et al. (2015; Acta Herpetologica 10:39-45).</t>
  </si>
  <si>
    <t>Zuffi et al. (2004; Italian Journal of Zoology 71:101-104).</t>
  </si>
  <si>
    <t>Zuffi et al. (2004: Italian Journal of Zoology 71:101-104).</t>
  </si>
  <si>
    <t>Drobenkov (2000; Russian Journal of Ecology 31:49-54).</t>
  </si>
  <si>
    <t>Rollinson et al. (2012; Zoology 115:160-169).</t>
  </si>
  <si>
    <t>Arndt (1977; Chesapeake Science 18:67-76).</t>
  </si>
  <si>
    <t>Wahlquist and Folkerts (1973; Herpetologica 29:236-237).</t>
  </si>
  <si>
    <t>Shealy (1976; Bulletin of the Florida State Museum Biological Sciences 21:47-11).</t>
  </si>
  <si>
    <t>Horne et al. (2003; Copeia 2003:729-738).</t>
  </si>
  <si>
    <t>Nagle and Congdon (2016; Herpetological Conservation and Biology 11:232-243).</t>
  </si>
  <si>
    <t>Jones (2017; Chelonian Conservation and Biology 16:215-228).</t>
  </si>
  <si>
    <t>Vogt (1980; Tulane Studies in Zoology and Botany 22:17-48).</t>
  </si>
  <si>
    <t>Kern et al. (2016; Biological Jounral of the Linnean Society 117: 295-304).</t>
  </si>
  <si>
    <t>Aresco (2004; Journal of Herpetology 38: 249-256).</t>
  </si>
  <si>
    <t>Wilkinson and Gibbons (2005; Copiea 2005:868-879).</t>
  </si>
  <si>
    <t>Graham (1971; Jounral of Herpetology 5:59-60) Graham (1971; Copeia 1971:353-356).</t>
  </si>
  <si>
    <t>Rose (2011; Southwestern Naturalist 56:61-65).</t>
  </si>
  <si>
    <t>Willey and Sievert (2012; Northeastern Naturalist 19:361-372).</t>
  </si>
  <si>
    <t>Burke and Capitano (2011; American Midland Naturalist 165:137-142).</t>
  </si>
  <si>
    <t>Wilson and Ernst (2005; Southeastern Naturalist 4:689-702).</t>
  </si>
  <si>
    <t>Miller (2001; Experimental Gerontology 36:829-832).</t>
  </si>
  <si>
    <t>Legler (1960; University of Kansas Publications Museum of Natural History 11: 527-669).</t>
  </si>
  <si>
    <t>Quinn (2014; Chelonian Conservation and Biology 13:65-71).</t>
  </si>
  <si>
    <t>Germano (2014; Chelonian Conservation and Biology 13:56-64).</t>
  </si>
  <si>
    <t>Nieuwolt-Dacanay (1997; Copeia 1997:819-826).</t>
  </si>
  <si>
    <t>Fagundes (2010; Herpetological Journal 20:195-199).</t>
  </si>
  <si>
    <t>Perez-Santigosa et al.(2008; Aquatic Conservation: Marine and Freshwater Ecosystems 18:1302-1310).</t>
  </si>
  <si>
    <t>Tucker (2001; Journal of Herpetology 35: 664-668).</t>
  </si>
  <si>
    <t>Tucker et al. (2008; Chelonian Conservation and Biology 7: 60-69).</t>
  </si>
  <si>
    <t>Moll and Legler (1971; Bulletin of the Los Angeles County Museum of Natural History Science 11:1-102).</t>
  </si>
  <si>
    <t>Chen and Lue (1999; Herpetologica 55:487-498).</t>
  </si>
  <si>
    <t>McCord (pers. comm.).</t>
  </si>
  <si>
    <t>Ji-Chao et al. (2011; Chelonian Conservation and Biology 10:159-164).</t>
  </si>
  <si>
    <t>S. Ishihara (pers. comm.).</t>
  </si>
  <si>
    <t>Ibanez et al. (2015; Behavioural Processes 111:90-96).</t>
  </si>
  <si>
    <t>Chen and Lue (1998; Copeia 1998: 944-952).</t>
  </si>
  <si>
    <t>Noguchi (pers. comm.).</t>
  </si>
  <si>
    <t>Iverson (unpublished data).</t>
  </si>
  <si>
    <t>Legler (1966; Herpetologica 22:118-122).</t>
  </si>
  <si>
    <t>Iverson (1979; Brimleyana 1:37-46).</t>
  </si>
  <si>
    <t>Wilson et al. (1999; Copeia 1999:958-968).</t>
  </si>
  <si>
    <t>Iverson (1988; Herpetological Journal 1:285-291).</t>
  </si>
  <si>
    <t>Long (1986; Southwest Naturalist 31:1-8).</t>
  </si>
  <si>
    <t>Iverson (1991; Herpetologica 47:373-395).</t>
  </si>
  <si>
    <t>Iverson (1989; Southwestern Naturalist 34:356-368).</t>
  </si>
  <si>
    <t>Carr and Mast (1988; Trianea 1:87-97).</t>
  </si>
  <si>
    <t>Iverson et al. (1991; Journal of Herpetology 25:64-72).</t>
  </si>
  <si>
    <t>Horne (Unpublished data).</t>
  </si>
  <si>
    <t>Iverson (2010; Chelonian Conservation and Biology 9:250-261).</t>
  </si>
  <si>
    <t>Rosen (1987; M.S. Thesis Arizona State University).</t>
  </si>
  <si>
    <t>C. Etchberger (pers. comm.).</t>
  </si>
  <si>
    <t>Iverson (1979; Journal of Herpetology 13:105-111).</t>
  </si>
  <si>
    <t>Brouth and Schaffer (2019; The Batagur 5:1-11).</t>
  </si>
  <si>
    <t>Iverson (1978; Herpetologica 34:33-39).</t>
  </si>
  <si>
    <t>Etchberger and Ehrhart (1987; Herpetologica 43:66-73).</t>
  </si>
  <si>
    <t>Mitchell (1988; Herpetological Monographs 2: 40-61).</t>
  </si>
  <si>
    <t>Mitchell (1985; Copeia 1985:941-949).</t>
  </si>
  <si>
    <t>Cris Hagen (pers. comm.).</t>
  </si>
  <si>
    <t>Sung et al. (2014 ; Acta herpetologica 9:243-247).</t>
  </si>
  <si>
    <t>Batistella and Vogt (2008; Chelonian Conservation and Biology 7:12-20).</t>
  </si>
  <si>
    <t>Haller and Rodrigues (2006; Chelonian Conservation and Biology 5:280-284).</t>
  </si>
  <si>
    <t>Leuteritz and Ravolanaive (2005; African Zoology 40:233-242).</t>
  </si>
  <si>
    <t>Branch (1984; Amphibian-Reptilia 5:43-55).</t>
  </si>
  <si>
    <t>Loehr et al. (2004; Herpetologica 60:444-454).</t>
  </si>
  <si>
    <t>Turner et al (1987; Copeia 1987:974-979).</t>
  </si>
  <si>
    <t>Turner et al (1984; Copeia 1984:811-820), Turner et al. (1986; Herpetologica 42:93-104).</t>
  </si>
  <si>
    <t>Baxter et al. (2008; Chelonian Conservation and Biology 7:52-59).</t>
  </si>
  <si>
    <t>Lovich et al. (2015; Biological Journal of the Linnean Society 115:399-410).</t>
  </si>
  <si>
    <t>Lovich et al. (2018; Current Herpetology 37:40-57).</t>
  </si>
  <si>
    <t>Averill-Murray (2002; Chelonian Conservatrion and Biology 4:295-301), Averill-Murray et al. (2018; Herpetological Monographs 32:34-50).</t>
  </si>
  <si>
    <t>Averill-Murray (2002; Chelonian Conservatrion and Biology 4:295-301).</t>
  </si>
  <si>
    <t>Iverson (1980; American Midland Naturalist 103:353-359).</t>
  </si>
  <si>
    <t>Ashton et al. (2007; Copeia 2007:355-363).</t>
  </si>
  <si>
    <t>Razandrimamilafiniarivo et al. (2000; Dodo 36:75-61).</t>
  </si>
  <si>
    <t>Razandrimamilafiniarivo et al. (2000; Dodo 36:75-81).</t>
  </si>
  <si>
    <t>Hailey and Loumbourdis (1988; Canadian Journal of Zoology 66:1527-1536).</t>
  </si>
  <si>
    <t>Castanet and Cheylan (1979; Canadian Journal of Zoology 57:1649-1665).</t>
  </si>
  <si>
    <t>Iverson (unpublised data).</t>
  </si>
  <si>
    <t>Hossain et al. (2010; Saudi Journal of Biological Sciecnes 17:5-12).</t>
  </si>
  <si>
    <t>Xinping et al. (2015; Chelonian Conservation and Biology 14:143-147).</t>
  </si>
  <si>
    <t>S. Ishihara (personal communication).</t>
  </si>
  <si>
    <t>Kuchling and Bradshaw (2009; Journal of Zoology 229:405-419).</t>
  </si>
  <si>
    <t>Ahsan et al (1991; Amphibia-Reptilia 12(2):131-136).</t>
  </si>
  <si>
    <t>Freeman et al. (2014; Chelonian Research Monographs 5(7)).</t>
  </si>
  <si>
    <t>Goode and Russell (1968; Australian Journal of Zoology 16:749-761).</t>
  </si>
  <si>
    <t>Fagundes and Bager (2007; Biota Neotropica 7:179-184).</t>
  </si>
  <si>
    <t xml:space="preserve">Medem (1966; Caldasia 9:467-489). </t>
  </si>
  <si>
    <t>Medem (1983; Lozania, Acta Zoológica Colombiana 41:1-12).</t>
  </si>
  <si>
    <t>Pritchard and Trebbau (1984; The Turtles of Venezuela).</t>
  </si>
  <si>
    <t>Schneider et al. (2011, Chelonian Conservation and Biology 10:206-212).</t>
  </si>
  <si>
    <t>Bujes and Verrastro (2009; Herpetological Conservation and Biology 4:306-312).</t>
  </si>
  <si>
    <t>Rodrigues and Silva (2015; Animal Biology 65:311-320).</t>
  </si>
  <si>
    <t>Böhm (2013; Chelonian Conservation and Biology 12:112-118).</t>
  </si>
  <si>
    <t>Vogt et al. (2011; Chelonian Research Monographs).</t>
  </si>
  <si>
    <t>Ehrhart et al. (2014; Chelonian Conservation and Biology 13:173-181).</t>
  </si>
  <si>
    <t>Turkozan and Yilman (2008; Chelonian Conservation and Biology 7:178-187).</t>
  </si>
  <si>
    <t>Prieto-Torres and Hernandez-Rangel (2015; Revista de Biologia Tropical 63:1059-1070).</t>
  </si>
  <si>
    <t>Hitchens et al. (2004; Journal of Zoology 264:371-381).</t>
  </si>
  <si>
    <t>Iverson and Smith (1993; Copeia 1993:1-21).</t>
  </si>
  <si>
    <t>Iverson (1977; Herpetologica 33:205-212).</t>
  </si>
  <si>
    <t>Iverson (2001; Southwestern Naturalist 46:364-370).</t>
  </si>
  <si>
    <t>Iverson (2008; Herp Review 39:217-218).</t>
  </si>
  <si>
    <t>Iverson (1989; Southwestern Naturalist 34:134-142).</t>
  </si>
  <si>
    <t>Iverson (2002; Southwestern Naturalist 47:215-224).</t>
  </si>
  <si>
    <t>Iverson (1985; Florida Scientist 48:41-44).</t>
  </si>
  <si>
    <t>Iverson and Moler (1997; Journal of Herpetology 31:399-409).</t>
  </si>
  <si>
    <t>Iverson (1977 Herpetologica 33:205-212).</t>
  </si>
  <si>
    <t>Janzen and Warner (2009; Journal of Evolutionary Biology 22:2222-2230).</t>
  </si>
  <si>
    <t>Germano and Riedle (2015; Herpetologica 71:102-109).</t>
  </si>
  <si>
    <t>Germano and Rathbun (2008: Chelonian Conservation and Biology 7:188-194).</t>
  </si>
  <si>
    <t>Scott et al. (2008; Herpetological Conservation and Biology 3:143-148).</t>
  </si>
  <si>
    <t>Tinkle et al. (1981; Ecology 62:1426-1432); Congdon and Tinkle (1982; Herpetologica 38:228-237).</t>
  </si>
  <si>
    <t>Mitchell (1985; Journal of Herpetology 19: 218-226).</t>
  </si>
  <si>
    <t>Zuffi and Foschi (2015; Amphibia-Reptilia 36:339-349).</t>
  </si>
  <si>
    <t>Pruett et al. (2019; Animal Behaviour 153:15-24).</t>
  </si>
  <si>
    <t>Nova Scotia</t>
  </si>
  <si>
    <t>N. Virginia</t>
  </si>
  <si>
    <t>at least 2-3</t>
  </si>
  <si>
    <t>S. Florida</t>
  </si>
  <si>
    <t>Ark/Okla</t>
  </si>
  <si>
    <t>Nigeria</t>
  </si>
  <si>
    <t xml:space="preserve">estimated </t>
  </si>
  <si>
    <t>Bolivia</t>
  </si>
  <si>
    <t>Foust (1996. NYTTS NewsNotes 7(1):16-19).</t>
  </si>
  <si>
    <t>Uzbekistan</t>
  </si>
  <si>
    <t>Peloponnese</t>
  </si>
  <si>
    <t>Malawi</t>
  </si>
  <si>
    <t>Hawaii</t>
  </si>
  <si>
    <t>invasive</t>
  </si>
  <si>
    <t>sextuberculata</t>
  </si>
  <si>
    <t>Ethiopia</t>
  </si>
  <si>
    <t>Boycott and Bourquin (1988; The South African Tortoise Book).</t>
  </si>
  <si>
    <t>Fukada (1965; Bulletin of Kyoto Gakugei University Series B Mathematics and Natural Sciences 27:65-82).</t>
  </si>
  <si>
    <t>Warner et al. (2016; PNAS 113 (23):6502-6507).</t>
  </si>
  <si>
    <t>Rowe et al. (2003; Copeia 2003:326-336).</t>
  </si>
  <si>
    <t>Rowe (1994; Copeia 1994:1034-1040); Rowe (1994 Oceologia 99:35-44).</t>
  </si>
  <si>
    <t>Rowe et al. (1995; Comp. Biochem. Physiol. 112B:323-330).</t>
  </si>
  <si>
    <t>Rowe (1992; Can. J. Zoology 70:1690-1695).</t>
  </si>
  <si>
    <t>Lindeman (1996; Copeia 1996:114-130).</t>
  </si>
  <si>
    <t>Ernst and Zug (1994; Journal of Herpetology 28:99-102).</t>
  </si>
  <si>
    <t>Ernst and Barbour (1989; Turtles of the United States and Canada).</t>
  </si>
  <si>
    <t>Rasmussen and Litzgus (2010; Ecoscience 17:47-58).</t>
  </si>
  <si>
    <t>Litzgus and Mousseau (2006; Herpetologica 62:132-140).</t>
  </si>
  <si>
    <t>Litzgus and Mousseau (2003; Journal of Herpetology 37:17-23).</t>
  </si>
  <si>
    <t>Jackson and Walker (1997; Bulletin of the Florida State Museum of Natural History 41:69-167).</t>
  </si>
  <si>
    <t>Buhlmann et al. (2009; Herpetologica 65:39-53).</t>
  </si>
  <si>
    <t>McKnight et al. (2018; Acta Herpetologica 13:191-194).</t>
  </si>
  <si>
    <t>Carr and Tolson (2018; Southwestern Naturalist 62:280-283).</t>
  </si>
  <si>
    <t>Dinkelacker and Hilzinger (2014; Journal of Herpetology 48:439-444).</t>
  </si>
  <si>
    <t>Ruane et al. (2008; Copeia:771-779).</t>
  </si>
  <si>
    <t>Standing et al. (1999; Can J. Zoo 77:1609-1614).</t>
  </si>
  <si>
    <t>Gutzke and Packard (1987; Journal Herpetology 21:161-163).</t>
  </si>
  <si>
    <t>Packard et al (1982; Zool. J. Linnean Soc 75:23-34).</t>
  </si>
  <si>
    <t>Graham and Doyle (1979; Journal of Herpetology 13:125-127).</t>
  </si>
  <si>
    <t>Anthonysamy et al. (2014; Copeia 2014:437-446).</t>
  </si>
  <si>
    <t>Zinenko (2004; Biologia, Bratislava 59:155-159).</t>
  </si>
  <si>
    <t>Loveridge and Williams (1957; Bulletin of the Museum of Comparative Zoology at Harvard College 115:163-557).</t>
  </si>
  <si>
    <t>Walde et al. (2007; Herpetological Conservation and Biology 2:49-60).</t>
  </si>
  <si>
    <t>Brooks et al. (1992; Canadian Journal Zoology 70:462-469).</t>
  </si>
  <si>
    <t>Byer et al. (2018; Journal of Herpetology 52:228-233).</t>
  </si>
  <si>
    <t>Zappalorti et al (2017; Chelonian Conservation and Biology 16:194-202).</t>
  </si>
  <si>
    <t>Ryan and Lindeman (2007; American Midland Naturalist 158:49-59).</t>
  </si>
  <si>
    <t>Lindeman (2005; American Midland Naturalist 153:378-388).</t>
  </si>
  <si>
    <t>Lindeman (2007; Southwestern Naturalist 52:586-594).</t>
  </si>
  <si>
    <t>Lahanas (1982; Thesis Auburn University).</t>
  </si>
  <si>
    <t>Cagle (1953; Zoologica 38:137-144).</t>
  </si>
  <si>
    <t>Fehrenbach et al. (2016; Copiea 104:458-468).</t>
  </si>
  <si>
    <t>Seigel (1980; Tran. Kansas Academy of Science 83:239-246); Seigel (1984; Universiy of Kansas Publications Museum of Natural History Special Publication 10:77-87).</t>
  </si>
  <si>
    <t>Pearson and Wiebe (2018; Ocean and Coastal Management 155:8-14).</t>
  </si>
  <si>
    <t>Roosenburg et al. (2014; Restoration Ecology 22:815-823).</t>
  </si>
  <si>
    <t>Roosenburg and Dunham (1997; Copeia 1997:290-297).</t>
  </si>
  <si>
    <t>Feinberg and Burke (2003; Journal of Herpetology 37:517-526).</t>
  </si>
  <si>
    <t>Donini et al. (2018; Chelonian Conservation and Biology 17:227-235).</t>
  </si>
  <si>
    <t>Roosenburg and Kelley (1996; Journal of Herpetology 30:198-204).</t>
  </si>
  <si>
    <t>Montevecchi and Burger (1975; American Midland Naturalist 94:166-178).</t>
  </si>
  <si>
    <t>Moll and Morris (1991; Transactions of the Illinois Academy of Science 84:77-83).</t>
  </si>
  <si>
    <t>Turner (1995; Thesis University of Southwest Missouri).</t>
  </si>
  <si>
    <t>Fahey (1987; Dissertation University of Auburn).</t>
  </si>
  <si>
    <t>Brown (1974; Bulletin of the Florida State Museum, Biological Sciences 19:1-67).</t>
  </si>
  <si>
    <t>Milstead and Tinkle (1967; Copeia 1967: 180-187).</t>
  </si>
  <si>
    <t>Converse et al. (2002; American Midland Naturalist 148:416-422).</t>
  </si>
  <si>
    <t>Sampedro Marin et al. (1983; Reporte de Investigacion del Instituto de Zoologia 8:1-15).</t>
  </si>
  <si>
    <t>Lucas and Bager (2017 Amphibia-Reptilia 38:425-434).</t>
  </si>
  <si>
    <t>Freiberg (1971; El Mundo de las Tortugas).</t>
  </si>
  <si>
    <t>Congdon and Gibbons (1983; Herpetologica 39:147-151).</t>
  </si>
  <si>
    <t>Gibbons et al. (1982; Copeia 1982:776-784).</t>
  </si>
  <si>
    <t>Spain Europe - El Portil</t>
  </si>
  <si>
    <t>Spain Europe - El Acebuche</t>
  </si>
  <si>
    <t>Tucker (2000; Herpetologica 56:8-13).</t>
  </si>
  <si>
    <t>Tucker et al. (1998; Journal of Herpetology 32:294-298).</t>
  </si>
  <si>
    <t>Tucker et al. (1998; Journal of Herpetology 32:515-526).</t>
  </si>
  <si>
    <t>Tucker and Janzen (1998; Canadian Journal Zoology 76:377-380).</t>
  </si>
  <si>
    <t>Gibbons (1983; Herpetologica 39:254-271).</t>
  </si>
  <si>
    <t>Gibson and Hamilton (1984; Oecologia 61:230-240).</t>
  </si>
  <si>
    <t>Crescente et al. 2014; Amphibia-Reptilia 35:366-370).</t>
  </si>
  <si>
    <t>Vogt (1990; Life History and Ecology of the Slider Turtle).</t>
  </si>
  <si>
    <t>Chan and Chen (2011; Chelonian Conservation and Biology 10:129-132).</t>
  </si>
  <si>
    <t>Moll (1980; Malaysian Journal of Science 6:23-62).</t>
  </si>
  <si>
    <t>Moll and Legler (1971; Bulletin of the Los Angeles County Museum of Natural History (Science) 11:1-102).</t>
  </si>
  <si>
    <t>Moll et al. (1986; Journal of the Bombay Natural History Society (Suppl.) 83:112-126).</t>
  </si>
  <si>
    <t>Holloway (2003; Unpublished Report to Research Fellowship Program, Wildlife Conservation Society).</t>
  </si>
  <si>
    <t>Sirsi et al. (2017; Chelonian Conservation and Biology 16:203-214).</t>
  </si>
  <si>
    <t>de Bruin and Zwartepoorte (1994; Herpetological Review 25:58-59).</t>
  </si>
  <si>
    <t>Schilde (2004; Asiatische Sumpfschildkröten - Die Familie Geoemydidae in Südostasien, China und Japan).</t>
  </si>
  <si>
    <t>Chen et al. (2011; Zoo Biology 30:689-698).</t>
  </si>
  <si>
    <t>Blanck (2005; Radiata 14:10-33).</t>
  </si>
  <si>
    <t>Bhupathy and  Choudhury (1994; Journal of the Bombay Natural History Society 91:146-147).</t>
  </si>
  <si>
    <t>Basu and Singh (1998; Hamadryad 23:157-161).</t>
  </si>
  <si>
    <t>Schaefer (2005; Zacken-Erdschildkröten - Die Gattung Geoemyda).</t>
  </si>
  <si>
    <t>Das (1991; Colour Guide to the Turtles and Tortoises of the Indian Subcontinent).</t>
  </si>
  <si>
    <t>Basu (1998; Hamadryad 22:95-106).</t>
  </si>
  <si>
    <t>Goode and Ewert (2006; Chelonian Conservation and Biology 5:165-169).</t>
  </si>
  <si>
    <t>Innis (2003; Chelonian Conservation and Biology 4:720-721); Riyanto (2006; Chelonian Conservation and Biology 5:320-323).</t>
  </si>
  <si>
    <t>Ives (2006; Dissertation Antioch University, New England).</t>
  </si>
  <si>
    <t>Pewphong et al. (2013; Asian Herpetological Research 4:254-262); Pewphong et al. (2016; Naturalists, Explorers and Field Scientists in South-East Asia and Australasia).</t>
  </si>
  <si>
    <t>Brophy (2002; Dissertation George Mason University).</t>
  </si>
  <si>
    <t>Ettmar (2019; Batagur 8:17-23).</t>
  </si>
  <si>
    <t>Platt et al. (2008; Chelonian Conservation and Biology 7:195-204).</t>
  </si>
  <si>
    <t>McCormack et al (2014; Conservation Biology of Freshwater Turtles and Tortoises: A Compilation Project of the IUCN/SSC Tortoise and Freshwater Turtle Specialist Group).</t>
  </si>
  <si>
    <t>Gasperetti et al. (1993; Fauna of Saudi Arabia 13:170-367).</t>
  </si>
  <si>
    <t>Szczerbak (2003; Guide to the Reptiles of the Eastern Palearctic).</t>
  </si>
  <si>
    <t>Perez et al. (1979; Donana, Acta Vertebrata 6:161-178); Andreu and Villamor (1989; Donana, Acta Vertebrata 16:167-172).</t>
  </si>
  <si>
    <t>da Silva (1995; Journal of Herpetology 29:484-485).</t>
  </si>
  <si>
    <t>Naimi et al. (2012; Herpetological Journal 22:43-49).</t>
  </si>
  <si>
    <t>Mori (1986; Nippon Herpetology Journal 33:5-9).</t>
  </si>
  <si>
    <t>Zhu et al. (2001; Acta Hydrobiologica Sinica 25:449-454).</t>
  </si>
  <si>
    <t>Cheng et al. (2010; Zoo Biology 29:50-58).</t>
  </si>
  <si>
    <t>Liu et al. (1988 Acta Hydrobiologica Sinica 12:230-235).</t>
  </si>
  <si>
    <t>Hossain et al. (2014; Bangladesh Journal of Zoology 42:169-181).</t>
  </si>
  <si>
    <t>Merchán-Fornelino (2003; Dissertation Universidad Complutense de Madrid).</t>
  </si>
  <si>
    <t>Garcés-Restrepo et al. (2017 Amphibia-Reptilia 38:351-361).</t>
  </si>
  <si>
    <t>Maran and Coutard (2003; Manouria 6:24-29).</t>
  </si>
  <si>
    <t>He et al. (2010; Asian Herpetological Research 1: 111-117).</t>
  </si>
  <si>
    <t>Diesmos et al. (2004; Asiatic Herpetological Research 10:22-27); Diesmos et al. (2012; Conservation Biology of Freshwater Turtles and Tortoises: A Compilation Project of the IUCN/SSC Tortoise and Freshwater Turtle Specialist Group).</t>
  </si>
  <si>
    <t>Whitaker and Vijaya (2009; Chelonian Conservation Biology 8(2):109-115).</t>
  </si>
  <si>
    <t>Lopez-Luna (unpublised data from Macip-Rios et al. 2017); Legler and Vogt (2013; Turtles of Mexico).</t>
  </si>
  <si>
    <t>Nagle et al. (1998; Comparative Biochemistry and Physiology Part B: Biochemistry and Molecular Biology 120: 145-152).</t>
  </si>
  <si>
    <t>Macip-Ríos et al. (2013; Chelonian Conservation and Biology 12:218-226).</t>
  </si>
  <si>
    <t>Christiansen et al. (1984; Southwestern Naturalist 29:349-351).</t>
  </si>
  <si>
    <t>Christiansen and Dunham (1972; Herpetologica 28:130-137).</t>
  </si>
  <si>
    <t>Macip-Ríos et al. (2017; Evolutionary Ecology Research 18:539-554).</t>
  </si>
  <si>
    <t>Arizona (Sycamore Creek)</t>
  </si>
  <si>
    <t>van Loben Sels et al. (1997; Chelonian Conservation and Biology 2:338-344).</t>
  </si>
  <si>
    <t>Lovich et al. (2012; Amphibia-Reptilia 33: 161-170).</t>
  </si>
  <si>
    <t>Platt et al. (2016; Acta Herpetologica 11:221-225).</t>
  </si>
  <si>
    <t>Nagle et al. (1998; Comparative Biochemistry and Physiology Part B: Biochemistry and Molecular Biology 120:145-152).</t>
  </si>
  <si>
    <t>Frazer et al. (1991; Ecology 72: 2218-2231).</t>
  </si>
  <si>
    <t>Estridge (1970; Thesis Auburn University); Marion (1983; Annual Meeting of the American Society of Ichthyology and Herpetology); Dodd et al. (1988; Bulletin of the Florida State Museum Biological Sciences 34:1-34).</t>
  </si>
  <si>
    <t>Cox and Marion (1978; Herpetologica 34:20-33).</t>
  </si>
  <si>
    <t>Clark et al. (2001; Functional Ecology 15:70-71).</t>
  </si>
  <si>
    <t>McPherson and Marion (1981; Journal of Herpetology 15:389-396).</t>
  </si>
  <si>
    <t>Jaques (1966; African Wildlife 20:137-150).</t>
  </si>
  <si>
    <t>Olukole et al. (2014; Italian Journal of Zoology 81:25-31).</t>
  </si>
  <si>
    <t>Shelmidine et al. (2016; Zoo Biology 35:174-179).</t>
  </si>
  <si>
    <t>Kuchling (1988; Biological Conservation 43:107-113).</t>
  </si>
  <si>
    <t>Carvalho et al. (2011; Chelonian Conservation and Biology 10:146-148).</t>
  </si>
  <si>
    <t>Alho and Padua (1982; Canadian Journal of Zoology 60:97-103).</t>
  </si>
  <si>
    <t>Magalhães et al. 2017; Zoomorphology 136:523-537).</t>
  </si>
  <si>
    <t>Portelinha et al (2013; Journal of Herpetology 47:232-236).</t>
  </si>
  <si>
    <t>Portelinha et al (2013; Journal of Herpetology 47:232-236); Soares (1996; Acta Biologica Leopoldensia 18:93-101).</t>
  </si>
  <si>
    <t>Portelinha et al (2013; Journal of Herpetology 47:232-236); Hilebrand et al. (1988; Colombia Amazonica 3:89-102)</t>
  </si>
  <si>
    <t>Portelinha et al (2013; Journal of Herpetology 47:232-236); Valenzuela (2001; Journal of Herpetology 35:368-378).</t>
  </si>
  <si>
    <t>Alves-Júnior et al. (2012; Brazilain Journal Biology 72:199-203).</t>
  </si>
  <si>
    <t>Vanzolini (2003; Anais da Academia Brasileira de Ciências 75:415-430); Mosqueira-Manso (1945; III Conferencia Interamericana de Agricultura).</t>
  </si>
  <si>
    <t>Vanzolini (2003; Anais da Academia Brasileira de Ciências 75:415-430); Brito (1978; Conservation Naturalist 13:57-63).</t>
  </si>
  <si>
    <t>Vanzolini (2003; Anais da Academia Brasileira de Ciências 75:415-430); Vecchi (1978; Trofeu. S. Paulo 84:30-39).</t>
  </si>
  <si>
    <t>Ferreira and Castro (2010; Brazilian Journal of Biology 70:85-94).</t>
  </si>
  <si>
    <t>Correa-H et al. (2010; Chelonian Conservation and Biology 9:70-78).</t>
  </si>
  <si>
    <t>Páez et al. (2015; Copeia 103:1058-1074).</t>
  </si>
  <si>
    <t>Páez et al. (2015; Herpetologica 71:196-202).</t>
  </si>
  <si>
    <t>Gallego-García and Castaño-Mora (2008; Chelonian Conservation and Biology 7:37-44).</t>
  </si>
  <si>
    <t>Freda et al. (2016; Genetics and Molecular Research 15:gmr.15017335).</t>
  </si>
  <si>
    <t>Fantin et al. (2015; Phyllomedusa 14:89-97).</t>
  </si>
  <si>
    <t>Foote (1978; Herpetologica 34:333-339).</t>
  </si>
  <si>
    <t>Ferreira and Castro (2010; Brazilian Journal Biology 70:85-94).</t>
  </si>
  <si>
    <t>Escalona et al. (2017; Evolutionary Ecology 32:29-41).</t>
  </si>
  <si>
    <t>Arraes et al. (2016; Acta Biologica Colombiana 21:413-421).</t>
  </si>
  <si>
    <t>Arraes and Tavares-Dias (2014, Acta Amazonica 44:387-392).</t>
  </si>
  <si>
    <t>Teran and von Mulhen (2003; Ecologia Aplicada 2:125-132).</t>
  </si>
  <si>
    <t>Escalona and Fa (1998; Journal of Zoology 244:303-312).</t>
  </si>
  <si>
    <t>Pignati et al. (2013; Copiea 2013:303-311).</t>
  </si>
  <si>
    <t>Ramo (1982; Donana, Acta Vertebrata 9:1-161).</t>
  </si>
  <si>
    <t>Zovickian (1973; HISS News-Journal 1:115-118).</t>
  </si>
  <si>
    <t>Hammer (2015; Journal of Herpetology 49:633-640).</t>
  </si>
  <si>
    <t>Pedrono et al. (2001; Journal of Herpetology 35:151-156).</t>
  </si>
  <si>
    <t>Bourou et al. (2001; Dodo 37: 70-79).</t>
  </si>
  <si>
    <t>Cloudsley-Thompson (1970; Journal of Zoology 160:17-33).</t>
  </si>
  <si>
    <t>Hernández and Boede (2008; Interciencia 33:461-466).</t>
  </si>
  <si>
    <t>Tonge (1988; Dodo 25:82-90).</t>
  </si>
  <si>
    <t>Auffenberg (1969; International Turtle and Tortoise Society Journal 3:16-19, 36-37).</t>
  </si>
  <si>
    <t>Buskirk (1993; Studies on Neotropical Fauna and Environment 28:233-249).</t>
  </si>
  <si>
    <t>Wauters et al. (2018; Herpetological Conservation and Biology 13:479-487).</t>
  </si>
  <si>
    <t>Hofmeyr (2004; Journal of Herpetology 38:172-179).</t>
  </si>
  <si>
    <t>Henen and Hofmeyr (2003; Journal of Experimental Zoology A Comp Exp Biol 297A:88-104).</t>
  </si>
  <si>
    <t>Loehr et al. (2011; Copeia 2011:278-284).</t>
  </si>
  <si>
    <t>Thanda Swe (2004; Dissertation University of Mandalay).</t>
  </si>
  <si>
    <t>Turner et al. (1984; Copeia 1984:811-820; Turner et al. (1986; Herpetologica 42:93-104).</t>
  </si>
  <si>
    <t>Wallis et al. (1999. Journal of Herpetology 33:394-408).</t>
  </si>
  <si>
    <t>Mueller et al. (1998; Journal of Herpetology 32:313-319).</t>
  </si>
  <si>
    <t>Sieg et al. (2015; Integrative Zoology 10:282-294).</t>
  </si>
  <si>
    <t>McLuckie and Fridell (2002; Chelonian Conservation and Biology 4:288-294).</t>
  </si>
  <si>
    <t>Judd and Rose (1989; Copeia 1989:588-596).</t>
  </si>
  <si>
    <t>Hellgren et al. (2000; Ecology 81:1927-1310).</t>
  </si>
  <si>
    <t>Rose and Judd (1982; North American Tortoises: Conservation and Ecology).</t>
  </si>
  <si>
    <t>Radzio et al (2017 Chelonian Conservation and Biology 16:103-105).</t>
  </si>
  <si>
    <t>Rothermel and Castellon (2014; Southeastern Naturalist 13:705-720).</t>
  </si>
  <si>
    <t>Noel et al. (2012; Herpetologica 68:324-333).</t>
  </si>
  <si>
    <t>Moore et al. (2009; Bulletin of the Peabody Museum of Natural History 50:387-392).</t>
  </si>
  <si>
    <t>Epperson and Heise (2003; Journal of Herpetology  37:315-324).</t>
  </si>
  <si>
    <t>Butler and Hull (1996; Journal of Herpetology 30:14-18).</t>
  </si>
  <si>
    <t>White et al. (2018; Journal of Heredity 109:791-801).</t>
  </si>
  <si>
    <t>Diemer and Moore (1994; Biology North American Tortoises).</t>
  </si>
  <si>
    <t>Smith et al. (1997; Chelonian Conservation and Biology 2:596-600).</t>
  </si>
  <si>
    <t>Loehr et al. (2019;  Herpetoculture Notes 50:517-518).</t>
  </si>
  <si>
    <t>Akani et al. (2004; Italian Journal of Zoology 71:245-247).</t>
  </si>
  <si>
    <t>McKeown et al. (1982; Zoo Biology 1:223-235); McKeown (1990; Tortuga Gazette 33:3-5); McKeown et al. (1992; Proceedings of the First International Symposium on Turtles &amp; Tortoises: Conservation and Captive Husbandry).</t>
  </si>
  <si>
    <t>Lim and Das (1999; Turtles of Borneo and peninsular Malaysia); Ernst and Barbour (1989; Turtles of the World).</t>
  </si>
  <si>
    <t>Leuteritz and Hofmeyr (2006; Journal of Arid Environments 68:546-563).</t>
  </si>
  <si>
    <t>Cairncross (1946; Annals of the Transvaal Museum 20: 395-397).</t>
  </si>
  <si>
    <t>Werner et al. (2016; Biological Journal of the Linnean Society 117:796-811); Rezazadeh et al. (2014; Herpetology Notes 7:127-133).</t>
  </si>
  <si>
    <t>Werner et al. (2016; Biological Journal of the Linnean Society 117:796-811); Diaz et al. (1996; Canadian Journal of Zoology 74:560-564).</t>
  </si>
  <si>
    <t>Werner et al. (2016; Biological Journal of the Linnean Society 117:796-811); Siebenrock (1913; Annalen des kaiserlich-koeniglichen Naturhistorischen Hofmuseums, Wien 27:171-225).</t>
  </si>
  <si>
    <t>Werner et al. (2016; Biological Journal of the Linnean Society 117:796-811); Lopez Jurado et al. (1979; Naturalia Hispanica 17:1-63).</t>
  </si>
  <si>
    <t>Werner et al. (2016; Biological Journal of the Linnean Society 117:796-811); Fuhn and Vancea (1961; Academia Republicii Populare Romine 14:1-349).</t>
  </si>
  <si>
    <t>Werner et al. (2016; Biological Journal of the Linnean Society 117:796-811); Hailey and Loumbourdis (1988; Canadian Journal of Zoology 66:1527-1536).</t>
  </si>
  <si>
    <t>Werner et al. (2016; Biological Journal of the Linnean Society 117:796-811); Inozemtsev and Pereshkolnik (1994; Chelonian Conservation and Biology 1:151-158).</t>
  </si>
  <si>
    <t>Werner et al. (2016; Biological Journal of the Linnean Society 117:796-811); Nadjafov et al. (1992; Zoologicheskii Zhurnal 1992:148-153).</t>
  </si>
  <si>
    <t>Hichami et al. (2016; African Journal of Herpetology 65:21-32).</t>
  </si>
  <si>
    <t>Lapid et al. (2004; Theriogenology 61:1147-1162).</t>
  </si>
  <si>
    <t>Diaz-Paniagua et al. (1997; Journal of Zoology, London 243:543-553).</t>
  </si>
  <si>
    <t>Stemmler and Gyger (1963; Aquar. Terr. Z. (Stuttgart) 16:180-183).</t>
  </si>
  <si>
    <t>Bertolero et al. (2007; Amphibia-Reptilia 28:77-85).</t>
  </si>
  <si>
    <t>Longepierre et al. (2003; Contributions to Zoology 72:221-226).</t>
  </si>
  <si>
    <t>Geffen and Mendelssohn (1991; Herpetological Journal 1:574-577).</t>
  </si>
  <si>
    <t>Wirot (1979; The Turtles of Thailand).</t>
  </si>
  <si>
    <t>Lee et al. (2007; Journal of Herpetology 41:492-500).</t>
  </si>
  <si>
    <t>Mullins and Janzen (2006; Herpetologica 62:27-36).</t>
  </si>
  <si>
    <t>Nagle et al. (2003; Herpetologica 59:145-154).</t>
  </si>
  <si>
    <t>Ashmore and Janzen (2003; Oecologia 134:182-188).</t>
  </si>
  <si>
    <t>Janzen (1993; Physiological Zoology 66:349-373).</t>
  </si>
  <si>
    <t>Webb (1962; University of Kansas Publications, Museum of Natural History 13:429-611).</t>
  </si>
  <si>
    <t>Premkishore and Chandran (1996; Annales des Sciences Naturelles, Zoologie, Paris 17:99-104).</t>
  </si>
  <si>
    <t>Dang et al. (2018; Ecology and Evolution 8:3763-3773).</t>
  </si>
  <si>
    <t>Tang et al. (2018; Integrative Zoology 13:58-69).</t>
  </si>
  <si>
    <t>Dang et al. (2015; Scientific Reports 5:10594).</t>
  </si>
  <si>
    <t>Zhao et al. (2013; Comparative Biochemistry and Physiology, Part A 164:66-70).</t>
  </si>
  <si>
    <t>Du and Ji (2003; Journal of Thermal Biology 28:279-286).</t>
  </si>
  <si>
    <t>Ji et al. (2003; Journal of Zoology, London 261:409-416).</t>
  </si>
  <si>
    <t>Du et al. (2009; Journal of Experimental Biology 212:1302-1306).</t>
  </si>
  <si>
    <t>Mao (1971; Turtles of Taiwan).</t>
  </si>
  <si>
    <t>Ghaffari et al. (2013; Chelonian Conservation and Biology 12:319-323).</t>
  </si>
  <si>
    <t>Biricik and Turga (2011; Salamandra 47:99-102).</t>
  </si>
  <si>
    <t>Gidis and Kaska (2004; Fresenius Environmental Bulletin 13:405-412).</t>
  </si>
  <si>
    <t>Thompson (1983; Dissertation University of Adelaide).</t>
  </si>
  <si>
    <t>Cann and Sadlier (2017; Freshwater Turtles of Australia).</t>
  </si>
  <si>
    <t>Banks (1987; Wildlife Research 14:551-558).</t>
  </si>
  <si>
    <t>Georges et al. (2007), in Cann and Sadlier (2017; Freshwater Turtles of Australia).</t>
  </si>
  <si>
    <t>Holmback (1987; International Zoo Yearbook 26:94-98).</t>
  </si>
  <si>
    <t>Cann and Sadlier (2017; Freshwater Turtles of Australia); Cann et al. (2015. Chel. Res. Monogr. 5:091.1-091.0).</t>
  </si>
  <si>
    <t>Budischek (2001; Emys 8(1):4-18).</t>
  </si>
  <si>
    <t>Gaikhorst et al. (2011; Zoo Biology 30:79-94).</t>
  </si>
  <si>
    <t>Highfield (1996; Practical Encyclopedia of Keeping and Breeding Tortoises and Freshwater Turtles).</t>
  </si>
  <si>
    <t>Guix et al. (1992; Boletín de la Asociación Herpetológica Española 3:23-25).</t>
  </si>
  <si>
    <t>Yamashita (1990; Herpetological Review 21:19).</t>
  </si>
  <si>
    <t>Bager and Bach (2003; JMIH abstract).</t>
  </si>
  <si>
    <t>Wolff (2008; Radiata 17:63-68).</t>
  </si>
  <si>
    <t>Forero-Medina et al. (2013; Conservation Biology of Freshwater Turtles and Tortoises: A Compilation Project of the IUCN/SSC Tortoise and Freshwater Turtle Specialist Group); based on Paez et al. [2012; Biology and conservation of the Continental Tortugas of Colombia]).</t>
  </si>
  <si>
    <t>Rueda-Almonacid et al.  (2007; Las Tortugas y los Cocodrilianos de los Países Andinos del Trópico).</t>
  </si>
  <si>
    <t>Goode (1988; Herpetological Review 19:11-13).</t>
  </si>
  <si>
    <t>Cunha et al. (2019; Chelonian Conservation and Biology 18:195-209).</t>
  </si>
  <si>
    <t>Moreira (2002; Thesis Universidade Federal de Minas Gerais).</t>
  </si>
  <si>
    <t>Schilde (2008; Radiata 17:55-62).</t>
  </si>
  <si>
    <t>Corazza and Molina (2004; Arq. Inst. Biol., Sao Paulo 71(suppl):410-412).</t>
  </si>
  <si>
    <t>Corazza and Molina (2004; Arq. Inst. Biol., Sao Paulo 71(suppl):407-409).</t>
  </si>
  <si>
    <t>Bour and Pauler (1987; Mesogee 47:3-23).</t>
  </si>
  <si>
    <t>Kardon (1981; International Zoo Yearbook 21:71-72); Goode (1986; Herpetological Review 17:48-49).</t>
  </si>
  <si>
    <t>Wicker (1984; Salamandra 20:185-191).</t>
  </si>
  <si>
    <t>Guix et al. (1989; Grupo de Estudos Ecológicos, Série Documentos 1:1-19).</t>
  </si>
  <si>
    <t>Bager (2006; Herpetetological Review 37:459).</t>
  </si>
  <si>
    <t>Tortato (2007; Biotemas 20:119-122).</t>
  </si>
  <si>
    <t>Bujes (1998; Revista Brasileira de Zoologia 15:921-928).</t>
  </si>
  <si>
    <t>Fabius (2004; Manouria 7:28-38).</t>
  </si>
  <si>
    <t>Rhodin and Mittermeier (1983; Advances in Herpetology and Evolutionary Biology [E. E. Williamsi)).</t>
  </si>
  <si>
    <t>Cintra and Yamashita (1989; Herpetological Review 20:65-66).</t>
  </si>
  <si>
    <t>Artner (2007; Emys 14:4-25).</t>
  </si>
  <si>
    <t>Heaphy (1990; Thesis University of New South Wales), in Cann and Sadlier (2017; Freshwater Turtles of Australia).</t>
  </si>
  <si>
    <t>Molina (1998; Revista de Etiologia 1998:25-40).</t>
  </si>
  <si>
    <t>Molina and da Rocha (1990; Tortoises and Turtles 5:15).</t>
  </si>
  <si>
    <t>Molina and Gomes (1998; International Zoo Yearbook 36:162-170).</t>
  </si>
  <si>
    <t>Römpp (2004; Emys 11(2):4-21).</t>
  </si>
  <si>
    <t>Vestjens (1969; Australian Zoologist 15:141-149).</t>
  </si>
  <si>
    <t>Ernst et al. (2002; Herpetological Bulletin 81:17-21).</t>
  </si>
  <si>
    <t>Chessman (1978; Thesis Monash University).</t>
  </si>
  <si>
    <t>Römpp (2006; Keeping and breeding Chelodina longicollis and Chelodina oblonga) in Artner et al. (2006; Turtles Proceedings: International Turtle and Tortoise Symposium).</t>
  </si>
  <si>
    <t>D'Amato and Morata (1991; Acta Biol. Leopoldensia 13:119-129).</t>
  </si>
  <si>
    <t>Römpp (2008; Emys 15(2):4-15).</t>
  </si>
  <si>
    <t>Horne (1993; Herp. Review 24:25).</t>
  </si>
  <si>
    <t>Chessman (2018; Australian J. Zoology 66:77-83).</t>
  </si>
  <si>
    <t>Maran and Coutard (2003; Manouria 6(19):24-29).</t>
  </si>
  <si>
    <t>Symanski (2004; Radiata 13(2):10-16).</t>
  </si>
  <si>
    <t>Kuchling (1988; Rec. West. Austr. Mus. 14:189-198).</t>
  </si>
  <si>
    <t>Kuchling (1988; Rec. West. Aust. Mus. 14:189-198).</t>
  </si>
  <si>
    <t>Fritz and Jauch (1989; Salamandra 25:1-13).</t>
  </si>
  <si>
    <t>Römpp (2004; Emys 11(5):4-19).</t>
  </si>
  <si>
    <t>Kennett (1994; Thesis University of Queensland ) and Kennett et al. (2014; Chelon. Res. Monogr.5:077.1-077.13).</t>
  </si>
  <si>
    <t>Drajeske (1983; Bull. Chicago Herp. Soc. 18:73-81).</t>
  </si>
  <si>
    <t>Eiby and Booth (2011; Australian Journal of Zoology 59:18-25).</t>
  </si>
  <si>
    <t>Artner (2006; Emys 13(3):4-16).</t>
  </si>
  <si>
    <t>Kennett (1994; Thesis University of Queensland).</t>
  </si>
  <si>
    <t>Micheli-Campbell et al. (2013; Herpetologica 69:383-396).</t>
  </si>
  <si>
    <t>Artner (2006; in Artner et al. 2006 Turtles).</t>
  </si>
  <si>
    <t>Spencer (2001; Thesis University of Sydney); Spencer (2002. Australian J. Zool. 50:477-490).</t>
  </si>
  <si>
    <t>Villalba (2009; Emys 16(2):23-32).</t>
  </si>
  <si>
    <t>Blanvillain (2005; Radiata 14(4):25-28).</t>
  </si>
  <si>
    <t>Lamar and Medem (1982; Salamandra 18:305-321).</t>
  </si>
  <si>
    <t>Legler and Vogt (2013; The Turtles of Mexico).</t>
  </si>
  <si>
    <t>Legler (1960; Herpetologica 16:139-140); Legler and Vogt (2013; The Turtles of Mexico).</t>
  </si>
  <si>
    <t>Thompson et al. (2019;  Herpetologica 75:280-289).</t>
  </si>
  <si>
    <t>Polisar (1996; Chelonian Conservation and Biology 2:13-25); Polisar (1995; Vida Silvestre Neotropical 4:10-19).</t>
  </si>
  <si>
    <t>Legler and Vogt (2013; The Turtles of Mexico); Vogt (1997; Historia Natural de los Tuxtlas).</t>
  </si>
  <si>
    <t>Valdez-Villavicencio et al. (2016; Revista Mexicana Herpetol. 2:36-39).</t>
  </si>
  <si>
    <t>Lovich and Meyer (2002; Journal of Zoology 256:537-545).</t>
  </si>
  <si>
    <t>Palmer and Braswell (1995; Reptiles of of North Carolina).</t>
  </si>
  <si>
    <t>Mitchell (1994; The Reptiles of Virginia).</t>
  </si>
  <si>
    <t>MacCulloch and Secoy (1983; Canadian Journal of Zoology 61:1499-1509).</t>
  </si>
  <si>
    <t>Herman (1990; Proceedings First International Symposium on Turtles &amp; Tortoises: Conservation and Captive Husbandry).</t>
  </si>
  <si>
    <t>Adler (1961; Ohio Journal of Science 61:180-182).</t>
  </si>
  <si>
    <t>Tamplin et al. (2009; Herpetological Review 40:214-215).</t>
  </si>
  <si>
    <t>Tamplin et al. (2009; Herpetological Review 40:214-215), based on upublished report by Sajwaj et al. (1998; Unpublished Report).</t>
  </si>
  <si>
    <t>Graham and Forsberg (1986; Bulletin of the Maryland Herpetological Society 22:146-148).</t>
  </si>
  <si>
    <t>1-2+</t>
  </si>
  <si>
    <t>Switzerland</t>
  </si>
  <si>
    <t>Missouri</t>
  </si>
  <si>
    <t>Sabine River</t>
  </si>
  <si>
    <t>Missouri (Bull Creek)</t>
  </si>
  <si>
    <t>Missouri (Rockaway Beach)</t>
  </si>
  <si>
    <t>Spain (introduced)</t>
  </si>
  <si>
    <t>Brazil (introduced)</t>
  </si>
  <si>
    <t>Nepal</t>
  </si>
  <si>
    <t xml:space="preserve">Florida </t>
  </si>
  <si>
    <t>Senegal</t>
  </si>
  <si>
    <t>South Sudan</t>
  </si>
  <si>
    <t>Trinidad</t>
  </si>
  <si>
    <t>Sabah</t>
  </si>
  <si>
    <t>Kenya</t>
  </si>
  <si>
    <t>Israel</t>
  </si>
  <si>
    <t>Vermont</t>
  </si>
  <si>
    <t>1, maybe 2</t>
  </si>
  <si>
    <t>Hermann (1990; Proceedings First International Symposium on Turtles &amp; Tortoises: Conservation and Captive Husbandry).</t>
  </si>
  <si>
    <t>Tryon and Hulsey (1977; International Zoo Yearbook 17:125-130).</t>
  </si>
  <si>
    <t>Goode (1997; Conservation, Restoration, and Management of Tortoises and Turtles, p 478).</t>
  </si>
  <si>
    <t>Seigel and Brauman (1995; USFWS Report Project E-1).</t>
  </si>
  <si>
    <t>Goode (1983; Herpetological Review 14:122).</t>
  </si>
  <si>
    <t>Zimmerman (1992; Thesis University of Charleston) in Lovich et al. (2018. In Ecology and Conservation of the Diamond-backed Terrapin).</t>
  </si>
  <si>
    <t>Goodwin (1994; Dissertation University of Rhode Island) in Lovich et al. (2018. In Ecology and Conservation of the Diamond-backed Terrapin).</t>
  </si>
  <si>
    <t>Burger (1977; American Midland Naturalist 97:444-474).</t>
  </si>
  <si>
    <t>Burns and Williams (1972; Journal of Herpetology 6:237-238).</t>
  </si>
  <si>
    <t>Szymanski (2005; Radiata 14(4):3-12).</t>
  </si>
  <si>
    <t>Iverson (1978; Herpetological Review 9:22); Iverson (pers. comm.).</t>
  </si>
  <si>
    <t>Suriyamongkol and Mali (2019; Chelonian Conservation and Biology 18:187-194).</t>
  </si>
  <si>
    <t>Burbidge (1967. Univ. West. Australia thesis); Burbidge (1981; Austalian Wildlife Research 8:203-223).</t>
  </si>
  <si>
    <t>Artner et al. (1998; Emys 5(6):5-22).</t>
  </si>
  <si>
    <t>Rose et al. (1996; Journal of Herpetology 30:433-435); Rose (2011; Southwestern Naturalist 56:61-65); Mali et al. (2014; Southwestern Naturalist 59:325-330); Mail (2010; Master's thesis, Texas State University at San Marcos).</t>
  </si>
  <si>
    <t>Baur and Jasser-Häger (2006; Radiata 15(4):40-49).</t>
  </si>
  <si>
    <t>Papua NG</t>
  </si>
  <si>
    <t>Zug, in Lovich et al. (1983. Herpetofauna 14:95).</t>
  </si>
  <si>
    <t>S. Illinois</t>
  </si>
  <si>
    <t>Ontario</t>
  </si>
  <si>
    <t>Minnesota</t>
  </si>
  <si>
    <t>Connecticut</t>
  </si>
  <si>
    <t>Massacusetts</t>
  </si>
  <si>
    <t>&gt;2</t>
  </si>
  <si>
    <t>St. Clair (1996, pers. comm.).</t>
  </si>
  <si>
    <t>1 or more</t>
  </si>
  <si>
    <t>Iverson and McCord unpublished.</t>
  </si>
  <si>
    <t xml:space="preserve">Mexico </t>
  </si>
  <si>
    <t>not reported</t>
  </si>
  <si>
    <t>Mexico (Colima)</t>
  </si>
  <si>
    <t>Philippines</t>
  </si>
  <si>
    <t>TX/Oklahoma</t>
  </si>
  <si>
    <t>central Alabama (pond)</t>
  </si>
  <si>
    <t>central Alabama (river)</t>
  </si>
  <si>
    <t>China (captive)</t>
  </si>
  <si>
    <t xml:space="preserve">measured </t>
  </si>
  <si>
    <t>Aldabra( coastal)</t>
  </si>
  <si>
    <t>Aldabra (inland)</t>
  </si>
  <si>
    <t>Aldabra (Grand Terre)</t>
  </si>
  <si>
    <t>&lt;1</t>
  </si>
  <si>
    <t>Aldabra (Malabar)</t>
  </si>
  <si>
    <t>Ecuador</t>
  </si>
  <si>
    <t>Márquez et al. (1992. Acta. Zool. Lilloana 41:295-306).</t>
  </si>
  <si>
    <t>John Whelan, pers. comm . 1980.</t>
  </si>
  <si>
    <t>N. Florida</t>
  </si>
  <si>
    <t>France</t>
  </si>
  <si>
    <t>Kentucky</t>
  </si>
  <si>
    <t>Lousiana</t>
  </si>
  <si>
    <t>Doody (1998. pers.comm. to JBI).</t>
  </si>
  <si>
    <t>Colorado</t>
  </si>
  <si>
    <t>at  least 3</t>
  </si>
  <si>
    <t>Pelodiscus "sinensis"</t>
  </si>
  <si>
    <t>Beil (2005; Radiata 14(2):61-63).</t>
  </si>
  <si>
    <t>Helm (2002; Radiata 11(2):23-29).</t>
  </si>
  <si>
    <t>Saxena (1994; Hamadryad 19:93-94).</t>
  </si>
  <si>
    <t>El Savador</t>
  </si>
  <si>
    <t>Maran (2001; Manouria 4(11):13-16).</t>
  </si>
  <si>
    <t>Brito et al. (2020; Herpetological Review 51:104-105).</t>
  </si>
  <si>
    <t>Lehmann (1988; Salamandra 24:1-6).</t>
  </si>
  <si>
    <t>Russ (1970; Western Australian Naturalist 11(5):122-123).</t>
  </si>
  <si>
    <t>Georges (1984; Herpetofauna 15:27-31).</t>
  </si>
  <si>
    <t>Woodall (1984; Australian Journal Zoologist 32:7-14).</t>
  </si>
  <si>
    <t>Spencer (2002; Australian J. Zool. 50:477-490).</t>
  </si>
  <si>
    <t>Legler (1985; Biology of Australasian Frogs and Reptiles. Pp. 117-123).</t>
  </si>
  <si>
    <t>Nicol (1983; Proceedings of the 6th Reptile Symposium on Captive Propagation and Husbandry, pp.  133-140).</t>
  </si>
  <si>
    <t>Foust (1989; Plastron Papers 18(8):6-9).</t>
  </si>
  <si>
    <t>Thierfeldt and Höfler-Thierfeldt (2007; Marginata 4(3):40-47).</t>
  </si>
  <si>
    <t>Grossmann (1988; Sauria 10(2):7-11).</t>
  </si>
  <si>
    <t>Nicol (1985; Bulletin of the Chicago Herpetological Society 20(2):29-34).</t>
  </si>
  <si>
    <t>Grossmann (1992; Sauria 1(3):35-38).</t>
  </si>
  <si>
    <t>Lehman (2016; Marginata 49:20-29).</t>
  </si>
  <si>
    <t>Artner (1995; Herpetozoa 8(1/2):17-24).</t>
  </si>
  <si>
    <t>Hausmann (1979; DATZ 32(4):136-138).</t>
  </si>
  <si>
    <t>Cann (1980; Northern Terr. Natur. 1(3):4-5).</t>
  </si>
  <si>
    <t>Richter (1989; DATZ 2:99-100).</t>
  </si>
  <si>
    <t>Schaefer (1986; Salamandra 22:229-241).</t>
  </si>
  <si>
    <t>Green (1996; Herpetofauna 26(2):2-5).</t>
  </si>
  <si>
    <t>Judge (2001; MS Thesis University of Canberra).</t>
  </si>
  <si>
    <t>Podloucky (1984; Herpetofauna 30:6-13).</t>
  </si>
  <si>
    <t>Fritz et al. (1991; Zeitschrift des Kölner Zoo 4(34):131-139).</t>
  </si>
  <si>
    <t>Coutard (2005; Manouria 8(26):31-42).</t>
  </si>
  <si>
    <t>Moreira et al. (2003; Abstract, ASIH/HL/SSAR p. 333).</t>
  </si>
  <si>
    <t>Grychta and Grychta (1995; Sauria 17(1):11-14).</t>
  </si>
  <si>
    <t>Böhm (2008; Radiata 17(3):45-54).</t>
  </si>
  <si>
    <t>Parmenter and Limpus (1995; Copeia 1995:474-477).</t>
  </si>
  <si>
    <t>Limpus (1971;  Herpetologica 27:431-446).</t>
  </si>
  <si>
    <t>Arango-Lozano et al. (2017; Boletín Científico. Centro de Museos. Museo de Historia Natural 21:122-137).</t>
  </si>
  <si>
    <t>Medem (1962; Revista de la Academia Colombiana de Ciencias Exactas, físicas y Naturales 11(44):279-303).</t>
  </si>
  <si>
    <t>Medem et al. (1979; Caldasia 59:497-511).</t>
  </si>
  <si>
    <t>Ewert (2000; Herpetological Review 31:172).</t>
  </si>
  <si>
    <t>Petokas and Alexander (1980; Journal of Herpetology 14:239-244).</t>
  </si>
  <si>
    <t>Mitchell and Odom (1995; Brimleyana 22:73-75).</t>
  </si>
  <si>
    <t>White and Murphy (1973; Herpetologica 29:240-246).</t>
  </si>
  <si>
    <t>Hamilton (1940; Copeia 1940:124-126).</t>
  </si>
  <si>
    <t>Ewert and Jackson (1994; Florida Game and FW Fish Commission Report  45pp.).</t>
  </si>
  <si>
    <t>Jackson and Ewert (1997; Herpetological Review 28:87).</t>
  </si>
  <si>
    <t>Jackson and Thomas (2018; Herpetological Review 49:321).</t>
  </si>
  <si>
    <t>Galbreath (1961; Transactions of the Illinois Academy of Science 54:134-135</t>
  </si>
  <si>
    <t>Ewert and Jackson (1994; Florida Game and FW Fish Commission Report  45pp.); and Ewert pers. comm to JBI).</t>
  </si>
  <si>
    <t>Dobie (1971; Copeia 1971:645-658).</t>
  </si>
  <si>
    <t>Tucker and Sloan (1997; Chelonian Conservation and Biology 2:587-592).</t>
  </si>
  <si>
    <t>Ewert (1976; Herpetologica 32:150-156).</t>
  </si>
  <si>
    <t>Lardie (1975; Occasional  Papers of the the University of Puget Sound Museum of Natural History 47:654).</t>
  </si>
  <si>
    <t>Tucker et al. (1999; Bulletin of the Maryland Herpetological Society 35:61-75).</t>
  </si>
  <si>
    <t>Gibbons (1968; Ecology 49:399-409).</t>
  </si>
  <si>
    <t>Joyal (1996; Masters Thesis University of Maine).</t>
  </si>
  <si>
    <t>bourreti</t>
  </si>
  <si>
    <t>galbinifrons</t>
  </si>
  <si>
    <t>Basu et al. (2006; Herpinstance 3(2):7-9)</t>
  </si>
  <si>
    <t>David (1975; Herpetological Review 6:127).</t>
  </si>
  <si>
    <t>Gibbons (1969; Copeia 1969:669-676).</t>
  </si>
  <si>
    <t>Standing et al. (1999; Canadian Journal of Zoology 77:1609-1614).</t>
  </si>
  <si>
    <t>Weller, in DePari et al. (1987; Canadian Field-Naturalist 101:440-442).</t>
  </si>
  <si>
    <t>Petokas, in  DePari et al. (1987; Canadian Field-Naturalist 101:440-442).</t>
  </si>
  <si>
    <t>Gibbons (1968; Canadian Journal of Zoology 46:288-290).</t>
  </si>
  <si>
    <t>Moriarity and Linck (1995; Herpetological Review 26:99).</t>
  </si>
  <si>
    <t>Breckenridge (1970; Reptiles and Amphibians of Minnesota).</t>
  </si>
  <si>
    <t>Brewster (1982; Herpetological Review 13:48).</t>
  </si>
  <si>
    <t>Mosimann (2003; Emys 10(3):4-16).</t>
  </si>
  <si>
    <t>Díaz-Paniagua et al. (2014; Basic and Applied Herpetology 28:145-151).</t>
  </si>
  <si>
    <t>Keller (1997; Dissertation Universidad de Sevilla).</t>
  </si>
  <si>
    <t>Becker (1995; Salamandra 31:41-48).</t>
  </si>
  <si>
    <t>Jackson and Jackson (2002; Manouria 5(17):29-31).</t>
  </si>
  <si>
    <t>Schulz (2004; Emys 11(2):22-31).</t>
  </si>
  <si>
    <t>White and Moll (1991; Journal of Herpetology 25:493-494); and White (1989; Thesis Missouri State University).</t>
  </si>
  <si>
    <t>Artner (2001; Emys 8(2):4-19).</t>
  </si>
  <si>
    <t>Jones (2006; Chelonian Conservation and Biology 5:195-209); and Jones and Hartfield (1995; Journal of Herpetology 29:426-436).</t>
  </si>
  <si>
    <t>Artner (2001; Emys 8(3):4-17).</t>
  </si>
  <si>
    <t>Roosenburg (1992; Dissertation University of Pennsylvania).</t>
  </si>
  <si>
    <t>Feinberg (2000; Thesis Hofstra University).</t>
  </si>
  <si>
    <t>Aresco (1996; Herpetological Review 27:77).</t>
  </si>
  <si>
    <t>Lewis in Brennessel (2006; Diamonds in the Marsh).</t>
  </si>
  <si>
    <t>Thomas (1972; MS. Thesis. Auburn University).</t>
  </si>
  <si>
    <t>Netting (1929; Copeia 1929(170_:24-25).</t>
  </si>
  <si>
    <t>Gibbons and Coker (1977;  Herpetologica 33:29-33).</t>
  </si>
  <si>
    <t>Wright and Funkhouser (1915; Proceedings of the Academy of Natural Sciences of Philadelpha 67:107-139).</t>
  </si>
  <si>
    <t>Bancroft et al. (1983; Report on the Herpetofauna of Lake Conway. 252 pp)</t>
  </si>
  <si>
    <t>Lardie (1973; HISS News-Journal 1(6):183-184).</t>
  </si>
  <si>
    <t>Artner (2010; Emys 17(1):5-25).</t>
  </si>
  <si>
    <t>Swarth (2003; Conserv. And Ecol. Turtles Mid-Atlantic Region, Bibliomania pp. 73-83).</t>
  </si>
  <si>
    <t>Graham (1997; ASIH/HL/SSAR joint meetings abstracts p. 147-148).</t>
  </si>
  <si>
    <t>Tucker (1999; Bulletin of the Maryland Herpetological Society 35:61-75).</t>
  </si>
  <si>
    <t>Mitchell and de Sa (1994; Herpetological Review 25:64).</t>
  </si>
  <si>
    <t>Artner (2005; Emys 12(1):5-32).</t>
  </si>
  <si>
    <t>Tucker et al. (1978; Bulletin of the Maryland Herpetological Soceity 14:23-28).</t>
  </si>
  <si>
    <t>Jackson (1991; Florida Field Naturalist 19(1):14-16).</t>
  </si>
  <si>
    <t>Jost and Jost (2000; In Artner and Meier, Schildkröten 79-92).</t>
  </si>
  <si>
    <t>Tonge (1987; Dodo 24:111-120).</t>
  </si>
  <si>
    <t>Murphy and Mitchell (1984; International Zoo Yearbook 23:135-137).</t>
  </si>
  <si>
    <t>Mülller (1936; Zoologischer Anzeiger 113:97-114).</t>
  </si>
  <si>
    <t>Doroff and Keith (1990; Copeia 1990:387-399).</t>
  </si>
  <si>
    <t>St. Clair (1998; Oecologia 115:501-507).</t>
  </si>
  <si>
    <t>Wilson in Legler and Vogt (2013; The Turtles of Mexico).</t>
  </si>
  <si>
    <t>Hennig et al. (2006; Radiata 15(1):23-31).</t>
  </si>
  <si>
    <t>Naths and Hennig (2005; Radiata 14(4):20-24).</t>
  </si>
  <si>
    <t>Connaughton and Paine (1989; International Zoo Yearbook 28:62-65).</t>
  </si>
  <si>
    <t>Inchaustegui Miranda (1972-1973; Thesis University of Autonoma Santo Domingo).</t>
  </si>
  <si>
    <t>Bager et al. (2007; Herpetologica 63:56-65).</t>
  </si>
  <si>
    <t>Krause et al. (1982; Revista Brasileira de Zoologia 1:79-90).</t>
  </si>
  <si>
    <t>Vanzolini (1997; Revista Brasileira de Biologia 57:165-175).</t>
  </si>
  <si>
    <t>Morjan and Stuart (2001; Southwestern Naturalist 46:230-234).</t>
  </si>
  <si>
    <t>Stuart and Painter (2006; Herpetological Review 37:79).</t>
  </si>
  <si>
    <t>Giebner (2003; Radiata 12(30):3-10).</t>
  </si>
  <si>
    <t>Stuart (2000; Bulletin of the Chicago Herpetological Society 35:229-235); Legler and Vogt (2013; The Turtles of Mexico).</t>
  </si>
  <si>
    <t>Tucker (2001; Herpetological Natural History 8:181-186).</t>
  </si>
  <si>
    <t>Thomas (1993; Master Thesis. Southwest Missouri State University).</t>
  </si>
  <si>
    <t>Febrer-Serra et al. (2019; Bolletí de la Societat d'Història Natural de les Balears 62:145-160).</t>
  </si>
  <si>
    <t>Gradela et al. (2020; Pesquisa Veterinária Brasileira 40:141-154).</t>
  </si>
  <si>
    <t>Bertolero and Canicio (2000; El Boletín de la Asociación Herpetológica Española 11(2):84).</t>
  </si>
  <si>
    <t>Fritz (1990; Salamandra 26:1-18).</t>
  </si>
  <si>
    <t>Zenteno-Ruiz (1993; Thesis Universidad Juárez Autónoma de Tabasco) in Legler and Vogt (2013; The Turtles of Mexico).</t>
  </si>
  <si>
    <t>Moll and Moll (1990; In: Gibbons. Life History and Ecology of the Slider Turtle pp. 152-161).</t>
  </si>
  <si>
    <t>Mast and Carr (1986; Herpetological Review 17:25).</t>
  </si>
  <si>
    <t>Deuti (2009; Envis Bulletin 12:53-55).</t>
  </si>
  <si>
    <t>Ghosh and Mandal (1990; Journal of the Bombay Natural History Society 87:50-52).</t>
  </si>
  <si>
    <t>Blanco et al. (1990; Proceeding of the First International Symposium on Turtles and Tortoises: Conservation and Captive Husbandry 63-65).</t>
  </si>
  <si>
    <t>Seth (1993; The Indian Forester 119(10):858-862).</t>
  </si>
  <si>
    <t>Weissenbacher et al. (2015; International Zoo Yearbook 49:31-41)</t>
  </si>
  <si>
    <t>Yadava (1980; Indian Forester 106:721-725).</t>
  </si>
  <si>
    <t>Rao and Singh (1987; Journal of the Bombay Natural History Society 84:55-65).</t>
  </si>
  <si>
    <t>Moll (1989; In Swingland and Klemens. Conservation Biology of Tortoises); Boycott and Bourquin (1988; The African Tortoise Book).</t>
  </si>
  <si>
    <t>Singh and Rao (1985), as cited in Whitaker (2009; Envis Bulletin 12:143-148).</t>
  </si>
  <si>
    <t>Whitaker (2009; Envis Bulletin 12:143-148).</t>
  </si>
  <si>
    <t>Palau</t>
  </si>
  <si>
    <t>Quebec</t>
  </si>
  <si>
    <t>S. Dakota</t>
  </si>
  <si>
    <t>mixed</t>
  </si>
  <si>
    <t>Cambodia</t>
  </si>
  <si>
    <t>Iverson (unpublished).</t>
  </si>
  <si>
    <t>Vietnam?</t>
  </si>
  <si>
    <t>SE Asia</t>
  </si>
  <si>
    <t>Brunei</t>
  </si>
  <si>
    <t>McCord and Iverson (unpublished data)</t>
  </si>
  <si>
    <t>Chao Phraya basin</t>
  </si>
  <si>
    <t>Malay</t>
  </si>
  <si>
    <t>Saudia Arabia</t>
  </si>
  <si>
    <t>rangewide</t>
  </si>
  <si>
    <t>Guatemala</t>
  </si>
  <si>
    <t>Botswana</t>
  </si>
  <si>
    <t>ca. 40</t>
  </si>
  <si>
    <t>Medem (1973; Salamandra 9:91-98).</t>
  </si>
  <si>
    <t>Nicol (1989; Notes from Noah 16(12):6-7).</t>
  </si>
  <si>
    <t>Fukada (1965; Bulletin of Kyoto Gakugei University Series B Mathematics and Natural Sciences 27B:65-82).</t>
  </si>
  <si>
    <t>Klemens (1993; Bulletin of the State Geological and Natural History Survey of Connecticut 112:1-318).</t>
  </si>
  <si>
    <t>Chippindale (1989; Canadian Field-Naturalist103:289-291).</t>
  </si>
  <si>
    <t>Cagle (1952; Copeia 1952:223-234).</t>
  </si>
  <si>
    <t>Killebrew and Babitzke (1996; Unpulished report for US Fish and Wildlife Service), in Lindeman (2013; Map Turtle and Sawback Atlas).</t>
  </si>
  <si>
    <t>Gordon and MacCulloch (1980; Canadian Journal of Zoology 58:2210-2219).</t>
  </si>
  <si>
    <t>Lindeman (2013; Map Turtle and Sawback Atlas).</t>
  </si>
  <si>
    <t>Rosenzweig (2003; Master Thesis University of Louisiana at Monroe), in Lindeman (2013; Map Turtle and Sawback Atlas).</t>
  </si>
  <si>
    <t>Janzen et al. (1995; Functional Ecology 9:913-922).</t>
  </si>
  <si>
    <t>Webb (1961; American Midland Naturalist 65:193-214).</t>
  </si>
  <si>
    <t>Barreto et al. (2009; Herpetological Review 40:283-286).</t>
  </si>
  <si>
    <t>Medem (1975; Caldasia 11(53):83-106).</t>
  </si>
  <si>
    <t>Moll (1986; Journal of the Bombay Natural History Society 83:538-552).</t>
  </si>
  <si>
    <t>Moll (1987; Journal of the Bombay Natural History Society 84:7-25).</t>
  </si>
  <si>
    <t>Weissenbacher and Praschag (2011; TSA Magazine pp. 48-49).</t>
  </si>
  <si>
    <t>Bhupathy (1997; Journal of the Bombay Natural History Society 94:27-35).</t>
  </si>
  <si>
    <t>Singh (2007; Turtle Survival Alliance  Magazine pp. 26-29).</t>
  </si>
  <si>
    <t>Platt et al. (2013; Western Myanmar Expedition Report).</t>
  </si>
  <si>
    <t>Platt et al. (2019; Herpetological Review 50:553-555).</t>
  </si>
  <si>
    <t>Kuchling et al. (2006; Oryx 40:176-182); and Kuchling pers. comm.).</t>
  </si>
  <si>
    <t>Grychta (1989; Aquarien Terrarien 36:134-135).</t>
  </si>
  <si>
    <t>Grychta (1988; Sauria 10(4):27-29).</t>
  </si>
  <si>
    <t>Kou (1997; Sichuan Journal Zoology 15 (Suppl.):133-134).</t>
  </si>
  <si>
    <t>Felsner (2000; Emys 7(5):4-20).</t>
  </si>
  <si>
    <t>Debry (2007; Manouria 10(35):33-36).</t>
  </si>
  <si>
    <t>Struijk (2018; Herpetological Review 49:697-698).</t>
  </si>
  <si>
    <t>McCord and Iverson (1991; Herpetologica 47:407-420).</t>
  </si>
  <si>
    <t>Janssen and Janssen (2008; Marginata 17:22-27).</t>
  </si>
  <si>
    <t>Jarvis and Augustine (2018; Herpetological Review 49:486-487).</t>
  </si>
  <si>
    <t>Janssen and Janssen (2019; Radiata 28(1):37-46).</t>
  </si>
  <si>
    <t>Becker (2019; Radiata 28(1):21-36).</t>
  </si>
  <si>
    <t>Lehr (1996; Thesis Universität Mainz).</t>
  </si>
  <si>
    <t>Romero Gómez and Valverde (2008; Reptilia 61:13-19).</t>
  </si>
  <si>
    <t>Struijk (2008; Turtle Survival Alliance Magazine p. 14).</t>
  </si>
  <si>
    <t>Heuberger and Heuberger (2008; Reptilia 61:20-26).</t>
  </si>
  <si>
    <t>Becker (1996; Salamndra 32:65-72).</t>
  </si>
  <si>
    <t>Klerks (2006; in Artner et al. 2006 Turtles).</t>
  </si>
  <si>
    <t>Nuss (2007; Radiata 16(2):29-32).</t>
  </si>
  <si>
    <t>Schaffer and Felsner (2000, In Artner and Meier, Schildkröten 111-116); and Schaffer and Felsner (1997; Emys 4(4):5-12).</t>
  </si>
  <si>
    <t>Baker and McCord (2002; Proceeding of the 25th International Herpetological Symposium. Pp. 1-11).</t>
  </si>
  <si>
    <t>Becker (1999; Elaphe 7:2-10).</t>
  </si>
  <si>
    <t>Jiang et al. (2016; Abstract TSA Conference p. 31).</t>
  </si>
  <si>
    <t>Chen and Lue (2002; Journal of Herpetology 36:201-208).</t>
  </si>
  <si>
    <t>Coutard (2007; Manouria 10(34):16-24).</t>
  </si>
  <si>
    <t>Hennig, in Schilde (2004; Asiatische Sumpfschildkröten).</t>
  </si>
  <si>
    <t>Fukada and Ishihara (1974; Japanses Journal of Herpetology 5:45-47).</t>
  </si>
  <si>
    <t>Fukada and Ishihara (1976; Japanese Journal of Herpetoletology 6:93-94).</t>
  </si>
  <si>
    <t>de Bruin (2002; Emys 9(5):4-16).</t>
  </si>
  <si>
    <t>Hiller (2005; Radiata 14(2):44-47).</t>
  </si>
  <si>
    <t>Hiller and Hiller (2008; Marginata 17:16-21).</t>
  </si>
  <si>
    <t>Hiller and Hiller (2008; Marginata 18:39-42).</t>
  </si>
  <si>
    <t>Borek et al. (2018; Herpetoletological Review 49:264-270).</t>
  </si>
  <si>
    <t>Schroller (2005; Radiata 14(2):39-40).</t>
  </si>
  <si>
    <t>Hertwig (2005; Radiata 14(2):37-38).</t>
  </si>
  <si>
    <t>Jakab and Sátorhelyi (2000; Emys 7(1):4-17).</t>
  </si>
  <si>
    <t>Struijk (2010; Turtle Survival Alliance Magazine p. 17).</t>
  </si>
  <si>
    <t>Theiler (2005; Radiata 14(2):41-42).</t>
  </si>
  <si>
    <t>Hertwig (2005; Radiata 14:37-38); Theiler (2005; Radiata 14(2):41-42).</t>
  </si>
  <si>
    <t>Hertwig and Schilde (2005; Radiata 14(2):43).</t>
  </si>
  <si>
    <t>Artner (1999; Emys 6(5):4-20);  Artner (2004; Emys 11(1):4-21).</t>
  </si>
  <si>
    <t>Niessen (2008; Marginata 17:28-30).</t>
  </si>
  <si>
    <t>Becker (1994; Herpetofauna 16(91):6-10).</t>
  </si>
  <si>
    <t>Becker et al. (2015; Marginata 43:10-21).</t>
  </si>
  <si>
    <t>Becker (2003; Draco 66-72).</t>
  </si>
  <si>
    <t>Becker (1992; Salamandra 28:9-13).</t>
  </si>
  <si>
    <t>Becker (2003; Radiata 12(1):3-10).</t>
  </si>
  <si>
    <t>Tabaka (2007; Turtle Survival Alliance Magazine p. 41).</t>
  </si>
  <si>
    <t>Artner (2008; Manouria 11(40):5-15).</t>
  </si>
  <si>
    <t>Zhou et al. (2008; Reptilia 59:29-34).</t>
  </si>
  <si>
    <t>Meier (2002; Emys 9(4):4-20).</t>
  </si>
  <si>
    <t>Lee and MacGregor (2008; Radiata 17(2):19-27).</t>
  </si>
  <si>
    <t>Meier et al. (2019; Radiata 28(1):47-54).</t>
  </si>
  <si>
    <t>Fritz et al. (2008; Zoologica Scripta 37:367-390).</t>
  </si>
  <si>
    <t>Artner (2007; Emys 14(2):4-27).</t>
  </si>
  <si>
    <t>Artner (2003; Emys 10(2):4-22).</t>
  </si>
  <si>
    <t>Artner (2006; pers. communication).</t>
  </si>
  <si>
    <t>Artner (2007; Emys 14(4):4-21).</t>
  </si>
  <si>
    <t>Artner (2005; Emys 12(2)17-31).</t>
  </si>
  <si>
    <t>Artner (2007; Emys 14(1):19-32).</t>
  </si>
  <si>
    <t>Artner et al. (2009; Emys 16(4):4-24).</t>
  </si>
  <si>
    <t>Artner (2009; Emys 16(3):4-19).</t>
  </si>
  <si>
    <t>Artner (2004; Emys 11(3):4-22).</t>
  </si>
  <si>
    <t>Artner (2009; Emys 16(1):5-18).</t>
  </si>
  <si>
    <t>Artner (2006; Emys 13(2):4-17).</t>
  </si>
  <si>
    <t>Artner (2008; Emys 15(1):4-27).</t>
  </si>
  <si>
    <t>Artner (2005; Emys 12(6):4-22).</t>
  </si>
  <si>
    <t>Artner et al. (2000; Emys 7(2):9-27).</t>
  </si>
  <si>
    <t>Artner (1998; Emys 5(4):5-24).</t>
  </si>
  <si>
    <t>Rashid and Swingland (1997; Conservation, Restoration, and Management of Tortoises and Turltes - An International Conference Pp. 224-242).</t>
  </si>
  <si>
    <t>Reams (1997; The Vivarium 8(4):6-7).</t>
  </si>
  <si>
    <t>Ota and Hamaguchi (2003; The Survey Reports on the Current Status of the Natural Monuments of Okinawa Prefecture 41:1-99).</t>
  </si>
  <si>
    <t>Yasukawa et al. (1992; Japanese Journal of Herpetology 14:143-159).</t>
  </si>
  <si>
    <t>Gad (1994; Salamandra 30:277-280).</t>
  </si>
  <si>
    <t>Maran (2006; in Artner et al. 2006 Turtles).</t>
  </si>
  <si>
    <t>Gramentz (2005; Die Nilweichschildkröte Trionyx triunguis).</t>
  </si>
  <si>
    <t>Taskavak and Atatür (1998; Chelonian Conservation Biology 3:20-30).</t>
  </si>
  <si>
    <t>Li and Ming (1983; Singapore Scientist 9(2):8-11).</t>
  </si>
  <si>
    <t xml:space="preserve">Terentev and Chernov (1949; Key to Amphibians and Reptiles [in Russian]). </t>
  </si>
  <si>
    <t>Stocker (1998; Emys 5(1):5-18).</t>
  </si>
  <si>
    <t>Weissenbacher and Praschag (2011; Turtle Survival Alliance Magazine pp. 48-49).</t>
  </si>
  <si>
    <t>Biswas and Acharjyo (1984; Bulletin of the Zoological Survey of India 6:219-222).</t>
  </si>
  <si>
    <t>Whitaker (2006; Contemporary Herpetology 1:1-6).</t>
  </si>
  <si>
    <t>Vasudevan (1998; Chelonian Conservation Biology 3:96-99).</t>
  </si>
  <si>
    <t>Vyas and Patel (1992; Hamadryad 17:32-34).</t>
  </si>
  <si>
    <t>Vyas (1995; Hamadryad 20:33-34).</t>
  </si>
  <si>
    <t>Gupta and Duda (1998; Biology and Conservation of Amphibians, Reptiles, and Habitat in South Asia pp. 177-188)</t>
  </si>
  <si>
    <t>Schaefer (2008; Marginata 19:22-30)</t>
  </si>
  <si>
    <t>Sarker and Hossain (1997; Gonfaron Conference pp. 43-46).</t>
  </si>
  <si>
    <t>Vijaya (1981; Hamadryad 6:10); Vijaya (1982;  Journal of the Bombay Natural History Society 79:210-211).</t>
  </si>
  <si>
    <t>Yadava and Prasad (1982; Indian Journal of Zootomy 23:51-56).</t>
  </si>
  <si>
    <t>Vyas (1996; Hamadryad 21:45-47).</t>
  </si>
  <si>
    <t>Maran (2006; Emys 13:5-26)</t>
  </si>
  <si>
    <t>Demaya (2019; Chelonian Conservation and Biology 18:62-67).</t>
  </si>
  <si>
    <t>Platt et al. (2020; Salamandra 56:66-70).</t>
  </si>
  <si>
    <t>Sirsi et al. (2016; Herpetological Review 47:410).</t>
  </si>
  <si>
    <t>Bhaduria et al. (1990; Journal of the Bombay Natural History Society 87:364-367).</t>
  </si>
  <si>
    <t>Robinson and Murphy (1978; Herpetologica 34:137-140); and Robinson (1974; Middle Tennessee State Unversity thesis).</t>
  </si>
  <si>
    <t>Miller et al. (1989; Herpetological Review 20:56).</t>
  </si>
  <si>
    <t>Doody (1998; pers.comm. to JBI).</t>
  </si>
  <si>
    <t>Tucker and Warner (1998; Herpetoletogical Review 29:234).</t>
  </si>
  <si>
    <t>Blanco-Pérez and Carr (2014; Turtle Survival Alliance Meetings Abstracts p. 19).</t>
  </si>
  <si>
    <t>Lazure et al. (2019; Herpetological Conservation and Biology 14:659-667).</t>
  </si>
  <si>
    <t>Graham and Graham (1997; Chelonian Conservation and Biology 2:363-369).</t>
  </si>
  <si>
    <t>Tamplin (2010; Herpetological Review 41:344-345).</t>
  </si>
  <si>
    <t>Lindeman (2001; Journal of the Kentucky Academy of Sciences 62(2):117-120).</t>
  </si>
  <si>
    <t>Goldsmith (1945; Proceedings of the Iowa Academy of Science 51:447-449).</t>
  </si>
  <si>
    <t>Heinrich and Richardson (1993; Herpetological Review 24:31).</t>
  </si>
  <si>
    <t>Coutard (2007; Manouria 10(35):16-24).</t>
  </si>
  <si>
    <t>Coutard (2006; Manouria 9(33):13-19).</t>
  </si>
  <si>
    <t>Coutard (2006; Manouria 9(31):18-26).</t>
  </si>
  <si>
    <t>Stemmler-Gyger (1964; DATZ 17:65-68).</t>
  </si>
  <si>
    <t>Collins (1980; Care and Breeding of Captive Reptiles pp. 21-36).</t>
  </si>
  <si>
    <t>Lesueur (2002; Manouria 5(16):8-15).</t>
  </si>
  <si>
    <t>Rohr (1970; Salamandra 6(3/4):99-103).</t>
  </si>
  <si>
    <t>Tippmann (2000; In Artner and Meier, Schildkröten 9-20).</t>
  </si>
  <si>
    <t>Stettner (2004; Emys 11(1):22-32).</t>
  </si>
  <si>
    <t>Hobbs and May  (1993; Bulletin of the Chicago Herpetological Society 28(11):23-235).</t>
  </si>
  <si>
    <t>Fritzche and Fritsche (2002; Radiata 11(3):31-39).</t>
  </si>
  <si>
    <t>Pirog (2002; Proceedings of the 25th International Herpetological Symposium 83-87).</t>
  </si>
  <si>
    <t>Stubbs (1989;  In Swingland and Klemens . Conservation Biology of Tortoises pp  39-40).</t>
  </si>
  <si>
    <t>Gad (2005; Emys 12:4-21).</t>
  </si>
  <si>
    <t>Gad (2000; Salamandra 36:113-120).</t>
  </si>
  <si>
    <t>Theile (2002; Radiata 11(4):3-20).</t>
  </si>
  <si>
    <t>Henen et al. (2002; Chelonii 3:135-143).</t>
  </si>
  <si>
    <t>Fritz and Pfau (2002; Radiata 11(4):21-41).</t>
  </si>
  <si>
    <t>Jasser-Häger and Winter (2007; Radiata 16(3):2-41).</t>
  </si>
  <si>
    <t>Herz (2005; Radiata 14(4):13-19).</t>
  </si>
  <si>
    <t>Swingland and Stubbs (1985; Journal Zoology 205:595-6100).</t>
  </si>
  <si>
    <t>Swingland and Coe (1979; Philosophical Transactions of the Royal Society B: Biological Sciences 286B:177-188).</t>
  </si>
  <si>
    <t>Swingland and Lessells (1979; Journal of Animal Ecology 48:639-654).</t>
  </si>
  <si>
    <t>Ehrengart (1971; Salamandra 7(2):71-80).</t>
  </si>
  <si>
    <t>Kirsche (1979; International Zoo Yearbook 19:42-49).</t>
  </si>
  <si>
    <t>Bertolero and Marin (2002; Chelonii 3:134).</t>
  </si>
  <si>
    <t>Kirsche (1967; Salamandra 3:36-66).</t>
  </si>
  <si>
    <t>Müller (2000; In Artner and Meier, Schildkröten 30-33).</t>
  </si>
  <si>
    <t>Hichami and Znari (2019; Annals of West University of Timisoara: Series of Biology 22:15-24).</t>
  </si>
  <si>
    <t>Lapid and Robinzon (2002; Chelonii 3:251-256).</t>
  </si>
  <si>
    <t>Díaz-Paniagua et al. (2001; Chelonii 3:214-222).</t>
  </si>
  <si>
    <t>Díaz-Paniagua et al. (1996; Canadian Journal of Zoology 74:560-564).</t>
  </si>
  <si>
    <t>Braza et al. (1981; Doñana Acta Vertebrata 8:15-41).</t>
  </si>
  <si>
    <t>Bennefield (1982; Testudo 2(1):1-5).</t>
  </si>
  <si>
    <t xml:space="preserve">Vetter (2005; Edition Chimaira, Frankfurt am Main, Germany). </t>
  </si>
  <si>
    <t>Visser and Zwartepoorte (1989; International Zoo Yearbook 28:98-102).</t>
  </si>
  <si>
    <t>Jost (1999; Emys 6(6):5-31).</t>
  </si>
  <si>
    <t>Patterson et al. (1989; Journal of Herpetological Association of Africa 36:75).</t>
  </si>
  <si>
    <t>Pirog (2006; Reptiles Mag. 14(3):34-39).</t>
  </si>
  <si>
    <t>McMahon (1990; Journal of the Herpetological Association of Africa 37:51); McMahon (1991; Journal of the Herpetological Association of Africa 39:27).</t>
  </si>
  <si>
    <t>Wolff (2004; Radiata 13(3):3-15).</t>
  </si>
  <si>
    <t>Velensky and Velesnska (2006; Marginata 8:15-20).</t>
  </si>
  <si>
    <t>Grobler (1982; Koedoe 256:49-53).</t>
  </si>
  <si>
    <t>Zeitz (1992; Greater Cincinnati Herpetological Socitey Contributions in Herpetology 1992:71-75).</t>
  </si>
  <si>
    <t>Pedrono and Smith (2013; Turtles on the Brink in Madagascar pp. 59-66).</t>
  </si>
  <si>
    <t>Bloxam and Hayes (1991; Dodo 27:138-145).</t>
  </si>
  <si>
    <t>Gibson and Buley (2004; Herpetological Review 35:111-116).</t>
  </si>
  <si>
    <t>Pedrono (2008; Tortoises and Turtles of Madagascar).</t>
  </si>
  <si>
    <t>Bour (1981; Bulletin Mensuel de la Société Linneenne de Lyon 5:154-176).</t>
  </si>
  <si>
    <t>Zwartepoorte (2004; Radiata 13(1):3-10).</t>
  </si>
  <si>
    <t>Pedrono and Claussen (2018; Twilight of the Angonoka. Nat. Hist. Publ.).</t>
  </si>
  <si>
    <t>Durrell et al. (1989; In Swingland and Klemens. Conservation Biology of Tortoises); Boycott and Bourquin (1988; The African Tortoise Book). Based on Bour (1981; Bulletin Mensuel de la Société Linneenne de Lyon 50:154-176).</t>
  </si>
  <si>
    <t>Hewitt (1937; A Guide to Vertebrate Fauna of the Eastern Cape Province South Africa).</t>
  </si>
  <si>
    <t>Schleicher (2006; in Artner et al. 2006 Turtles).</t>
  </si>
  <si>
    <t>Rall (1990; Journal of the Herpetological Association of Africa 37:52).</t>
  </si>
  <si>
    <t>Boycott and Branch (1989. In Swingland and Klemens. Conservation Biology of Tortoises); Boycott and Bourquin (1988; The African Tortoise Book).</t>
  </si>
  <si>
    <t>Baard (1995; Journal of the Herpetological Association of Africa 44:10-15).</t>
  </si>
  <si>
    <t xml:space="preserve">Rudner (1991; Journal of the Herpetological Association of Africa 39:13); and Rudner (pers. comm. to JBI). </t>
  </si>
  <si>
    <t>Grossmann (1994; Sauria 16(4):2).</t>
  </si>
  <si>
    <t>Lambert and Howes (1994; Malayan Nature Journal 48:125-131).</t>
  </si>
  <si>
    <t>Louwman (1982; International Zoo Yearbook 22:153-156).</t>
  </si>
  <si>
    <t>Sanz and Valverde (2002; Reptilia 22:49-53).</t>
  </si>
  <si>
    <t>Riener (1999; Emys 6(3):4-19).</t>
  </si>
  <si>
    <t>Pauler (1988; Mesogée 48:71-73).</t>
  </si>
  <si>
    <t>Schmidt (2006; in Artner et al. 2006 Turtles).</t>
  </si>
  <si>
    <t>Schmalz and Stein (1994; Salamandra 30:12-21).</t>
  </si>
  <si>
    <t>Conant and Downs (1940;  Zoologica 25:33-48).</t>
  </si>
  <si>
    <t>Shaw (1970; International Turtle and Tortoise Society Journal 4:6-9, 30-31); Broadley (1989; In Swingland and Klemens. Conservation Biology of Tortoises).</t>
  </si>
  <si>
    <t>Wilke (1984; International Zoo Yearbook 23:137-139).</t>
  </si>
  <si>
    <t>Joven (2019; The Batagur 9:1-9).</t>
  </si>
  <si>
    <t>Darlington and Davis (1990; Herpetological Review 21:16-18).</t>
  </si>
  <si>
    <t>Boycott (1989; In Swingland and Klemens. Conservation Biology of Tortoises).</t>
  </si>
  <si>
    <t>Kuchling (1986; Studies in Herpetology, Rocek, ed. Pp 435-440).</t>
  </si>
  <si>
    <t>Hailey and Coulson (1997; British Herpetological Society Bulletin 58:11-18).</t>
  </si>
  <si>
    <t>Coulson and Hailey (2001; African Journal of Ecology 39:383-392).</t>
  </si>
  <si>
    <t>Lambiris et al. (1987; Journal of the Herpetological Association of Africa 36:68-71).</t>
  </si>
  <si>
    <t>Villiers (1958; Tortues et Crocodiles de l'Afrique Noire Française).</t>
  </si>
  <si>
    <t>Power (1931; Transactions of the Royal Society of South Africa 20:39-49).</t>
  </si>
  <si>
    <t xml:space="preserve">Callaway et al. (1996; NYTTS NewsNotes 7(1):20-21). </t>
  </si>
  <si>
    <t>Farkas and Sátorhelyi (2006; in Artner et al. 2006 Turtles).</t>
  </si>
  <si>
    <t>Broadley (1989; In Swingland and Klemens. Conservation Biology of Tortoises).</t>
  </si>
  <si>
    <t>Pond and Pond (1989; Plastron Papers Nov./Dec. pp. 12-16).</t>
  </si>
  <si>
    <t>Sane and Sane (1989; Journal of the Bombay Natural History Society 86:109).</t>
  </si>
  <si>
    <t>McDougal and Castellano (1996; Advances in Herpetoculture 51-56).</t>
  </si>
  <si>
    <t>Ramesh (2008; Hamadryad 33:118-120).</t>
  </si>
  <si>
    <t>Vijaya (1983; Hamadryad 8:11-13).</t>
  </si>
  <si>
    <t>Vijaya (1982; Hamadryd 7:14-15).</t>
  </si>
  <si>
    <t>Vijaya (1982; Hamadryad 7:10).</t>
  </si>
  <si>
    <t>Wiarda (2006; in Artner et al. 2006 Turtles).</t>
  </si>
  <si>
    <t>Putten (1992; Lacerta 50(3):118-120).</t>
  </si>
  <si>
    <t>Spencer (1988; Bulletin of the Chicago Herpetological Society 23:37-40).</t>
  </si>
  <si>
    <t>Senneke (2006; in Artner et al. 2006 Turtles).</t>
  </si>
  <si>
    <t>Dunn (1976; International Zoo Yearbook 16:73-74).</t>
  </si>
  <si>
    <t>Branch (1999; African Herp News 30:28-29).</t>
  </si>
  <si>
    <t>Kuperus and Loehr (2009; African Herp News 49:10-11).</t>
  </si>
  <si>
    <t>Loehr (2009; Radiata 18:23-32); Loehr (2009; Turtle and Tortoise Newsletter 13:21-24).</t>
  </si>
  <si>
    <t>Loehr (2013; Herpetological Review 44:305-306).</t>
  </si>
  <si>
    <t>Gorseman (1980; Lacerta 38:107-111).</t>
  </si>
  <si>
    <t>Barzyk (1994; Chelonian Conservation and Biology 1:138-141).</t>
  </si>
  <si>
    <t>Eglis (1963; Herpetologica 19:66-68).</t>
  </si>
  <si>
    <t>Schleicher (2005; Reptilia 43:26-30).</t>
  </si>
  <si>
    <t>Mislin (2013; Marginata 36:16-22).</t>
  </si>
  <si>
    <t>Branch (1989; In Swingland and Klemens. Conservation Biology of Tortoises).</t>
  </si>
  <si>
    <t>Diemer and Moore (1994; Biology of North American Tortoises 129-137).</t>
  </si>
  <si>
    <t>Diemer (1990; ASIH meetings abstracts, p. 78).</t>
  </si>
  <si>
    <t>Small and Macdonald (2001; Report, Florida Institute of Phosphate Research).</t>
  </si>
  <si>
    <t>Rostal and Jones (2002; Chelonian Conservation and Biology 42:479-487).</t>
  </si>
  <si>
    <t>Howell et al. (2020; Journal of Wildlife Management 84:56-65).</t>
  </si>
  <si>
    <t>Janulaw (1978; Proceedings of the 1978 Symposium Desert Tortoise Council pp. 157-163).</t>
  </si>
  <si>
    <t>Germano (1994; in Bury and Germano (eds.) Biology of the North American Tortoises); Morafka (1982; North American Tortoises: Conservation and Ecology).</t>
  </si>
  <si>
    <t>Morafka et al. (1989; in Swingland and Klemens, Conservation Biology of Tortoises).</t>
  </si>
  <si>
    <t>Paxson (1961; Herpetologica 17:278-279).</t>
  </si>
  <si>
    <t>Strecker (1929; Contrib. Baylor Univ. Museum 18:6).</t>
  </si>
  <si>
    <t>Wallis et al. (1999; Journal of Herpetology 33:394-408).</t>
  </si>
  <si>
    <t>Rao and Rao (1990; Journal of the Bombay Natural History Society 87:461-462).</t>
  </si>
  <si>
    <t>Bidmon (2003; Emys 10:4-42).</t>
  </si>
  <si>
    <t>Tardent (1972; Salamandra 8:165-175).</t>
  </si>
  <si>
    <t>Vyas (2005; Zoos' Print Journal 20:1859-1864).</t>
  </si>
  <si>
    <t>Kirsche (1976; Zool. Garten N.F. Jena 46:66-81).</t>
  </si>
  <si>
    <t>Storms and Philippen (2005; Marginata 1(4):22-30).</t>
  </si>
  <si>
    <t>Whelan and Coakley (1982; Herpetological Review 13:97).</t>
  </si>
  <si>
    <t>Schleicher (2004; Radiata 13(4):3-12).</t>
  </si>
  <si>
    <t>Schleicher and Loehr (2006; in Artner et al. 2006 Turtles).</t>
  </si>
  <si>
    <t>Morgan (1993; Journal of the Herpetological Association of Africa 42:34).</t>
  </si>
  <si>
    <t>Loehr (2004; Radiata 13(1):11-12).</t>
  </si>
  <si>
    <t>Loehr (2008; African Herp News 44:9-10).</t>
  </si>
  <si>
    <t>Haltuf (2000; Emys 7(6):4-19).</t>
  </si>
  <si>
    <t>Bauer (2002; Reptilia 23:35-38).</t>
  </si>
  <si>
    <t>Schleicher (2000; Schildkrote 1:10-15).</t>
  </si>
  <si>
    <t>Casares et al. (1997; Journal of Zoo and Wildlife Medicine 28:267-273).</t>
  </si>
  <si>
    <t>Furrer et al. (2006; in Artner. Proc. Turtle Symposium pp.328-337).</t>
  </si>
  <si>
    <t>Rostal et al. (1998; Zoo Biology 17:505-517).</t>
  </si>
  <si>
    <t>Hairston and Burchfield (1989; International Zoo Yearbook 28:70-77).</t>
  </si>
  <si>
    <t>Shaw (1961; International Zoo Yearbook 3(1):102-104).</t>
  </si>
  <si>
    <t>Waite (1899; Records of the Australian Museum 3:95-103).</t>
  </si>
  <si>
    <t>Shaw (1967; Oryx 9:119-126).</t>
  </si>
  <si>
    <t>Moreira (1991; Boletim do Museu Paraense Emílio Goeldi. Nova série. Zoologia 7(2):183-188).</t>
  </si>
  <si>
    <t>Böhm (2011; Radiata 20(2):18-32).</t>
  </si>
  <si>
    <t>Castaño-Mora and Lugo-Rugeles (1981; Cespedesia 10(37-38):55-122).</t>
  </si>
  <si>
    <t>Herbel (2001; Radiata 10(3):29-32).</t>
  </si>
  <si>
    <t>Romito et al. (2015; Scientia Interfluvius 6:64-73).</t>
  </si>
  <si>
    <t>Richard (1988; Amphibia y Reptilia (Conservación) 1(4):79-92).</t>
  </si>
  <si>
    <t>Maran (2006; Emys 13:5-26); Maran and Pauwels (2005; Bulletin de l’Institut Royal des Sciences Naturelles de Belgique, Biologie  75:47-60).</t>
  </si>
  <si>
    <t>Castaño-Mora (1986; Caldasia 15(71-75):665-667).</t>
  </si>
  <si>
    <t>Castaño-Mora et al. (2003; Chelonian Conservation and Biology 4:664-670).</t>
  </si>
  <si>
    <t>Castaño-Mora and Medem (1983; Lozania 47:1-6).</t>
  </si>
  <si>
    <t>Snedigar and Rokovsky (1950; Copeia 1950:46-48).</t>
  </si>
  <si>
    <t>Throp (1969; International Zoo Yearbook 9:30-31).</t>
  </si>
  <si>
    <t>Czernay and Praedicow (1988; Zoologische Garten 58:281-305).</t>
  </si>
  <si>
    <t>Boisson and Capon (1978; Die Aquarien- und Terrarien-Zeitschrift 31(1):28-30).</t>
  </si>
  <si>
    <t>Mill (2005; Radiata 14(3):13-25).</t>
  </si>
  <si>
    <t>Stearns (1989; International Zoo Yearbook 28:87-98).</t>
  </si>
  <si>
    <t>Juvik et al. (1990; First International Symposium on Turtle and Tortoises pp. 127-137).</t>
  </si>
  <si>
    <t>Reid et al. (1989; Dodo 26:34-48).</t>
  </si>
  <si>
    <t>Peters (1969; International Zoo Yearbook 9:29).</t>
  </si>
  <si>
    <t>Behler and Iaderosa (1990; First Internat. Symposium Turtles and Tortoises pp. 160-162).</t>
  </si>
  <si>
    <t>Heinle and Bidmon (2002; Emys 9(2):4-28).</t>
  </si>
  <si>
    <t>Bourn (1977; Journal of Zoology 182:27-38).</t>
  </si>
  <si>
    <t>Peters (1978; Lacerta 37:50-52); and Peters and Finnie (1979; International Zoo Yearbook 19:53-55).</t>
  </si>
  <si>
    <t>Stearns (1988; International Zoo Yearbook 27:98-103).</t>
  </si>
  <si>
    <t>Miorando (2016; Dissertation, Universidade Federal do Pará).</t>
  </si>
  <si>
    <t>Alarcon Pardo (1969; Revista de la Academia Colombiana de Ciencias Exactas, Físicas y Naturales 13:303-329).</t>
  </si>
  <si>
    <t>Soini (1994; Folia Amazonica 6:105-124).</t>
  </si>
  <si>
    <t>Soini (1988; Informe de Pacaya 26).</t>
  </si>
  <si>
    <t>Carvajal et al. (2011; Revista Boliviana de Ecología y Conservación Ambiental 29:23-32).</t>
  </si>
  <si>
    <t>Thorbjarnarson et al. (1993; Journal of Herpetology 27:344-347).</t>
  </si>
  <si>
    <t>Thorbjarnarson and da Silveria (1996; Herpetological Review 27:77-78).</t>
  </si>
  <si>
    <t>Soini (1984; Informe de Pacaya 13).</t>
  </si>
  <si>
    <t>Fachin Teran (1993; Boletin de Lima 87:69-74).</t>
  </si>
  <si>
    <t>Vanzolini and Gomes (1979; Papéis Avulsos de Zoologia, Sao Paulo 32:277-290).</t>
  </si>
  <si>
    <t>Blohm and Fernández Yépez (1948; Memoria. Sociedad de Ciencias Naturales La Salle, Caracas 8(21):35-69).</t>
  </si>
  <si>
    <t>Soini (1996; Folia Amazonica 8:147-164).</t>
  </si>
  <si>
    <t>Soini (1986; Informe de Pacaya 18).</t>
  </si>
  <si>
    <t>Vanzolini (1967; Papeis Avulsos de Zoologia, Sao Paulo 20:191-125).</t>
  </si>
  <si>
    <t>Holzhausen et al. (2015. Revista Colombiana de Ciencia Animal 7(1):3-10).</t>
  </si>
  <si>
    <t xml:space="preserve">Tronc and Vuillemin (1974; Bulletin de l'Académie Malgache 51:189-224). </t>
  </si>
  <si>
    <t xml:space="preserve">Cuora amboinensis </t>
  </si>
  <si>
    <t>"Siam"</t>
  </si>
  <si>
    <t>Sonora, Mexico</t>
  </si>
  <si>
    <t>2, maybe 3</t>
  </si>
  <si>
    <t>at least 6</t>
  </si>
  <si>
    <t>Mexico, Balsas</t>
  </si>
  <si>
    <t>Mexico, Sonora</t>
  </si>
  <si>
    <t>Mexico, Chapala</t>
  </si>
  <si>
    <t>Colima, Mexico</t>
  </si>
  <si>
    <t>1 (rarely 2)</t>
  </si>
  <si>
    <t>Okla/Arkansas</t>
  </si>
  <si>
    <t>Illinois (captive)</t>
  </si>
  <si>
    <t>S. Carolina</t>
  </si>
  <si>
    <t>Florida introduced</t>
  </si>
  <si>
    <t>Missouri (cold)</t>
  </si>
  <si>
    <t>Missouri (warm)</t>
  </si>
  <si>
    <t>2 or more</t>
  </si>
  <si>
    <t>Monguillet and Fabius (1993; Boletín de la Sociedad Zoológica del Uruguay 8:198-203).</t>
  </si>
  <si>
    <t>Cei (1993; Museo Regionale di Scienze Naturali Monografie 14:1-952).</t>
  </si>
  <si>
    <t>Schwartz (2006; Reptilia 45:62-65).</t>
  </si>
  <si>
    <t>Niceforo Maria (1952; Bol. Inst. La Salle 39:1-8).</t>
  </si>
  <si>
    <t>Grossman (1989; Sauria 11(3):11-15).</t>
  </si>
  <si>
    <t>Harding and Ewert (1989; Bulletin of the Chicago Herpetological Society 24(3):48-49).</t>
  </si>
  <si>
    <t>Schilde (2018; Radiata 27(3):4-11).</t>
  </si>
  <si>
    <t>Schilde (2003; Reptilia 8(1):62-64).</t>
  </si>
  <si>
    <t>Schilde (2010; Radiata 19(2):29-31).</t>
  </si>
  <si>
    <t>Balcombe and Licht (1987; Canadian Field-Naturalist 101:98-100).</t>
  </si>
  <si>
    <t>McNearney et al. (2005; Journal of Kansas Herpetology 13:9).</t>
  </si>
  <si>
    <t>Kofron and Schreiber (1985; Journal of Hereptology 19:27-40).</t>
  </si>
  <si>
    <t>Brown (1927; Canadian Field-Naturalist 41:185).</t>
  </si>
  <si>
    <t>Dixon (2009; Master's Thesis South Dakota State University).</t>
  </si>
  <si>
    <t>Timken (1968; Dissertation University of South Dakota).</t>
  </si>
  <si>
    <t>Praedicow (1985; Herpetofauna 7(37):6-14).</t>
  </si>
  <si>
    <t>Bourget and Bourget (2000; Manouria 3(7):20-22).</t>
  </si>
  <si>
    <t>Debry (2005; Manouria 8(26):6-9).</t>
  </si>
  <si>
    <t>Richter (2012; Radiata 21(3):15-23).</t>
  </si>
  <si>
    <t>Buskirk (1993; Vivarium 5(3):28-29, 31-33).</t>
  </si>
  <si>
    <t>Hofer (2000; Schildkröten pp. 93-97).</t>
  </si>
  <si>
    <t>Platt et al.  (2008; Chelonian Conservation Biology 7:195-204).</t>
  </si>
  <si>
    <t>Wyrich et al. (2015; Herpetological Review 46:49-54).</t>
  </si>
  <si>
    <t>Platt et al. (2014; Chelonian Conservation and Biology 13:252-256).</t>
  </si>
  <si>
    <t>Tapley (2014; pers. comm).</t>
  </si>
  <si>
    <t>Iverson and McCord (2006; Hamadryad 30:128-134).</t>
  </si>
  <si>
    <t>Herman (1993; Herpetological Natural History 1:97-100).</t>
  </si>
  <si>
    <t>Goetz (2007; Radiata 16(2):2-15).</t>
  </si>
  <si>
    <t>Das (1995; Raffles Bulletin of Zoology 43:157-180).</t>
  </si>
  <si>
    <t>Bhaduria and Misra (1988; J. Van Vigyan 26:5-11).</t>
  </si>
  <si>
    <t>Kalyar et al. (2007; Turtle Survival Alliance Magazine  pp. 20-21).</t>
  </si>
  <si>
    <t>Brophy and Ernst (2004; Hamadryad 29:80-88).</t>
  </si>
  <si>
    <t>Flower (1899; Proceeding of the Zoological Society of London 1899:600-696).</t>
  </si>
  <si>
    <t>Srinarumol (1995; Thesis Chulalongkorn University).</t>
  </si>
  <si>
    <t>Uhrig and Lee (2006; Radiata 15(1):3-10).</t>
  </si>
  <si>
    <t>Iverson and McCord (1994; Journal of Herpetology 28:178-187).</t>
  </si>
  <si>
    <t>Ayaz et al. (2006; Chelonian Conservation and Biology 5:10-17).</t>
  </si>
  <si>
    <t>Lee and Mulligan (2006; Bulletin of the Chicago Herpetological Soceity 41(2):30-31).</t>
  </si>
  <si>
    <t>Lee and Mulligan (2004; The Asian Turtle Consortium (on-line): 4 pp).</t>
  </si>
  <si>
    <t>Yabe (1992; Japanese Journal of Herpetology 14:191-197).</t>
  </si>
  <si>
    <t>Nelson et al. (2009; Chelonian Conservation and Biology 8: 66-73).</t>
  </si>
  <si>
    <t>Yabe (1989; Japanese Journal of Herpetology 13:7-9).</t>
  </si>
  <si>
    <t>Díaz-Paniagua et al. (2015; Enciclopedia Virtual los Vertebrados Españoles 49 pp.).</t>
  </si>
  <si>
    <t>Gamboa (2009; Dissertation Universidade do Algarve)</t>
  </si>
  <si>
    <t>Ibáñez et al. (2013; Naturwissenschaften 100:1137-1147).</t>
  </si>
  <si>
    <t>Zhao et al. (2008; Chinese Journal of Zoology 43:92-96).</t>
  </si>
  <si>
    <t>Yasukawa et al. (1996; Zoological Science 13:303-317).</t>
  </si>
  <si>
    <t>Grosse et al. (2010; TSA Magazine 90-92).</t>
  </si>
  <si>
    <t>de Bruin (1993; Lacerta 51(2):42-46).</t>
  </si>
  <si>
    <t>de Bruin (2000; Schildkröten pp. 105-110).</t>
  </si>
  <si>
    <t>Felsner (1998; Emys 5(3):5-19).</t>
  </si>
  <si>
    <t>Siebenrock (1913; Annalen des Kaiserlich-Koeniglichen Naturhistorischen Hofmuseums, Wien 27:171-225).</t>
  </si>
  <si>
    <t>Twardak (2010; Radiata 19(1):53-64).</t>
  </si>
  <si>
    <t>Kumar et al. (2009; Envis Bulletin 12:105-109).</t>
  </si>
  <si>
    <t>Valentin and Gemel (1999; Herpetozoa 12(3/4):99-118).</t>
  </si>
  <si>
    <t>Mahapatra et al. (2009; Envis Bulletin 12:73-80).</t>
  </si>
  <si>
    <t>Mitchell and Rhodin (1996; Chelonian Conservation and Biology 2:66-72); Dinerstein et al. (1988; Journal of the Bombay Natural History Society 84:687-688).</t>
  </si>
  <si>
    <t>Whitaker (2014; pers. communication).</t>
  </si>
  <si>
    <t>Ewert et al. (1984; Canadian Journal of Zoology 62:1834-1841).</t>
  </si>
  <si>
    <t>Mukherjee et al. (2006; Turtle and Tortoise Newsletter 9:7-9).</t>
  </si>
  <si>
    <t>Goode (1991; First International Symposium of Turtles and Tortoises pp. 66-76).</t>
  </si>
  <si>
    <t>Abeysekera et al. (2006; Radiata 15(3):3-11).</t>
  </si>
  <si>
    <t>Deraniyagala (1939; Tetrapod Reptiles Ceylon).</t>
  </si>
  <si>
    <t>Sundar (1984; Hamadryad 9(2); 8-9).</t>
  </si>
  <si>
    <t>Auffenberg and Khan (1991; Hamadryad 16(25-29).</t>
  </si>
  <si>
    <t>Gupta (1987; Journal of the Bombay Natural History Society 84:445-447).</t>
  </si>
  <si>
    <t>Singh (2006; Herpinstance 3(2): 5-6).</t>
  </si>
  <si>
    <t>Anonymous (2009; TSA Magazine p 20).</t>
  </si>
  <si>
    <t>Sarma et al. (2009; Envis Bulletin 12:43-47).</t>
  </si>
  <si>
    <t>Praschag and Fachbach (2001; Salamandra 37:129-148).</t>
  </si>
  <si>
    <t>Hossain and Sarker  (1995; Chelonian Conservation Biology 1:226-227).</t>
  </si>
  <si>
    <t>Agarwal et al. (1986; Bionature 6(2):94-97).</t>
  </si>
  <si>
    <t>Vyas and Patel (1993; Journal of the Bombay Natural History Society 90:109-112).</t>
  </si>
  <si>
    <t>Narain et al. (2006; Journal of Environmental Biology 27:589-596).</t>
  </si>
  <si>
    <t>Singh (1985; Journal of the Bombay Natural History Society 82:414-417).</t>
  </si>
  <si>
    <t>Boonman (1995; Lacerta 53:132-138).</t>
  </si>
  <si>
    <t>Becker (2010; Marginata 27:48-55).</t>
  </si>
  <si>
    <t>Felsner (2002; Emys 9(1):4-21).</t>
  </si>
  <si>
    <t>Giraldo et al. (2007; Abstract TSA p. 19).</t>
  </si>
  <si>
    <t>Giraldo et al. (2012; Caldasia 34:109-125).</t>
  </si>
  <si>
    <t>Giraldo et al. (2013; Boletín Científico del Centro de Museos. Museo de Historia Natural 17:154-159).</t>
  </si>
  <si>
    <t>Mittermeier (1971; Herpetologica 27:485-488).</t>
  </si>
  <si>
    <t>Legler and Cann (1980; Contributions in Science, Natural History Museum of Los Angeles 324:1-18).</t>
  </si>
  <si>
    <t>Fuchs (2016; Radiata 24(1):15-22).</t>
  </si>
  <si>
    <t>Niceforo Maria (1958; Bol. Inst. La Salle 23:31-37).</t>
  </si>
  <si>
    <t>Acuña et al. (1983; Revista de Biologia Tropico 31:181-192).</t>
  </si>
  <si>
    <t>Hofstra (2001; Emys 8(5):4-17).</t>
  </si>
  <si>
    <t>Merchan and Fournier (2007; Herpetological Review 38:72).</t>
  </si>
  <si>
    <t>Merchán and Mora (2000; Reptilia 13:31-38).</t>
  </si>
  <si>
    <t>Garcés-Restropo et al. (2014; Abstract TSA Conference p. 30).</t>
  </si>
  <si>
    <t>Perez and Alegría (2009; Revista Colombiana de Ciencia Animal 1(2):143-156).</t>
  </si>
  <si>
    <t>Christensen  (1975; Chelonia 2(2):8-10).</t>
  </si>
  <si>
    <t>Christensen (1975; Chelonia 2(3):8-10).</t>
  </si>
  <si>
    <t>Mende and Berndt (2005; Marginata 2(30:16-20).</t>
  </si>
  <si>
    <t>Acuña-Mesén and Cruz-Márquez (1993; Revista de Biología Tropical 41:261-265);  Márquez (1995; Revista de Ecologia LatinoAmericana 2(1-3):37-44).</t>
  </si>
  <si>
    <t>Acuña-Mesén (1998; Las Tortugas Continentales de Costa Rica).</t>
  </si>
  <si>
    <t>Acuña-Mesén et al (1996; Brenesia 45/46:195-197).</t>
  </si>
  <si>
    <t>Acuña-Mesén and Merchán (2003; Reptilia 26:30-34).</t>
  </si>
  <si>
    <t>Alvarez (2009; Reptilia 65:45-49).</t>
  </si>
  <si>
    <t>Hainz and Rafalowski (2011; Radiata 20(1):2-36).</t>
  </si>
  <si>
    <t>Pauler (1980; DATZ 33: 103-107).</t>
  </si>
  <si>
    <t>Schaffer (2000; Emys 7(4):4-11).</t>
  </si>
  <si>
    <t>Cardoso (2007; Hereptological Review 38:201).</t>
  </si>
  <si>
    <t>Cunha and Vogt (2018; Herpetological Review 49:488).</t>
  </si>
  <si>
    <t>Cunha et al. (2019; Herpetological Review 50:563).</t>
  </si>
  <si>
    <t>Da Silva Soares et al. (2017; Herpetological Review 48:85-86).</t>
  </si>
  <si>
    <t>Wariss et al. (2012; Revista de Biología Tropical 60:413-424).</t>
  </si>
  <si>
    <t>Paolillo (1985; Amphibia-Reptilia 6:293-305).</t>
  </si>
  <si>
    <t>Holcomb (2012; The Tortoise 1(1):50-58).</t>
  </si>
  <si>
    <t>Holcomb et al. (2012; Abstract Turtle Survival Alliance p. 34-35)</t>
  </si>
  <si>
    <t>Liu (2012; The Tortoise 1(1):59).</t>
  </si>
  <si>
    <t>Macip-Rios et al. (2019; Abstract. TSA Conerence p.49-50).</t>
  </si>
  <si>
    <t>Lin et al. (2017; Abstract. TSA Conference p. 48).</t>
  </si>
  <si>
    <t>Lin et al. (2017; Chelonian Conservation and Biology 16:180-184).</t>
  </si>
  <si>
    <t>Káracsonyi (2008; Emys 15(2):24-34).</t>
  </si>
  <si>
    <t>Honegger (1986; Salamandra 22:1-10).</t>
  </si>
  <si>
    <t>Schoppe (2010; Turtle Survival Alliance Magazine pp. 86-89).</t>
  </si>
  <si>
    <t>Deepak and Vasudevan (2009; Envis Bulletin 12:25-42).</t>
  </si>
  <si>
    <t>Espejel González (2004; Thesis Instituto de Ecología A.C. Xalapa, Veracruz)</t>
  </si>
  <si>
    <t>Bohm (2017; The Batagur 7:1-7).</t>
  </si>
  <si>
    <t>Flores-Villela and Zug (1995; Chelonian Conservation and Biology 1:181-186).</t>
  </si>
  <si>
    <t>Grychta and Grychta (1994; Sauria 16(4):11-14).</t>
  </si>
  <si>
    <t>Scholz (1990; Sauria12(4):7-9).</t>
  </si>
  <si>
    <t>Vogt (1986; Herpetologica Review 17:64).</t>
  </si>
  <si>
    <t>Berry and Legler (1980; Contributions in Science Natural History Museum of Los Angeles County 325:1-12).</t>
  </si>
  <si>
    <t>Einem (1956; Copeia 1956:186-188).</t>
  </si>
  <si>
    <t>Ewert and Jackson (2005; Herpetological Review 36:442).</t>
  </si>
  <si>
    <t>Ewert and Wilson (1996; Chelonian Conservation and Biology 2:43-54).</t>
  </si>
  <si>
    <t>Lardie (1975; Journal of Herpetology 9:260-264).</t>
  </si>
  <si>
    <t>Meshaka (1988; Arkansas Academy of Science Proceedings 42:111-112).</t>
  </si>
  <si>
    <t>Meshaka and Blind (2001; Chelonian Conservation and Biology 4:75-80).</t>
  </si>
  <si>
    <t>Pellegrin (2012; Marginata 34:53-58).</t>
  </si>
  <si>
    <t>Praschag (1983; Salamandra 19:141-150).</t>
  </si>
  <si>
    <t>Sachsse (1977; Salamandra 13:22-35).</t>
  </si>
  <si>
    <t>Berry et al. (1997; Chelonian Conservation and Biology 2:329-337)</t>
  </si>
  <si>
    <t>Cooper (1975; Thesis Drake University).</t>
  </si>
  <si>
    <t>Lardie (1976; Bulletin of the Oklahoma Herpetological Society 1(2):23).</t>
  </si>
  <si>
    <t>Lardie (1979; Bulletin of the Oklahoma Herpetological Society 4(2-3):24-32).</t>
  </si>
  <si>
    <t>Lardie (1983; Bulletin of the Oklahoma Herpetological Society 8(2):60-62).</t>
  </si>
  <si>
    <t>Mahmoud and Klicka (1972; Journal of Herpetology 6:183-189).</t>
  </si>
  <si>
    <t>Thornton and Smith (1996; Bulletin of the Chicago Herpetologocial Society 31(11):204-205).</t>
  </si>
  <si>
    <t>Iverson (1999; Journal of Herpetology 33:144-148).</t>
  </si>
  <si>
    <t>Macip-Ríos et al. (2009; Western North American Naturalist 69:501-510).</t>
  </si>
  <si>
    <t>Macip-Ríos et al. (2012; Zoological Science 29:60-65).</t>
  </si>
  <si>
    <t>Rudloff (1986; Aquar. Terrar. 5:166-169).</t>
  </si>
  <si>
    <t>Horne (2007; Dissertation Ohio University).</t>
  </si>
  <si>
    <t>Morales-Verdeja and Vogt (1997; Copeia 1997:123-130).</t>
  </si>
  <si>
    <t>Perez-Higareda (1981; Bulletin of the Maryland Herpetological Society 17(2):80-82).</t>
  </si>
  <si>
    <t>Sachsse (1980; Salamandra 16:185-194).</t>
  </si>
  <si>
    <t>Schuster (1980; Salamandra 16:195-202).</t>
  </si>
  <si>
    <t>Török (2009; Emys 16(3):20-29).</t>
  </si>
  <si>
    <t>Macip-Rios et al. (2014; Abstract. TSA meetings p. 40).</t>
  </si>
  <si>
    <t>Rocha and Molina (1990; Tortoise and Freshwater Newsletter 5:8).</t>
  </si>
  <si>
    <t>Hofer (1999; Emys 6(3):20-26).</t>
  </si>
  <si>
    <t>Dathe (1987; Aquar. Terrar. 8:no pagination); Dathe (1998; Milu (Berlin) 1998:526-532).</t>
  </si>
  <si>
    <t>Costa (2009; Pesquisa Veterinária Brasileira 29(10):841-846).</t>
  </si>
  <si>
    <t>Costa (2016; Dissertation Universidade Federal do Pará).</t>
  </si>
  <si>
    <t>Costa Araújo et al. (2013; Tropical Animal Health and Production 45:729-735).</t>
  </si>
  <si>
    <t>Fretey (1977; Thesis University of Paris Museum).</t>
  </si>
  <si>
    <t>Luison (2011; Chéloniens 22:32-43).</t>
  </si>
  <si>
    <t>Pfau and Pempelfort (2018; Radiata 27(1):16-26).</t>
  </si>
  <si>
    <t>Sexton (1960; Memoria de la Sociedad de Ciencias Naturales La Salle 20:189-197).</t>
  </si>
  <si>
    <t>Hofer (2004; Emy 11(3):23-31).</t>
  </si>
  <si>
    <t>Grant (1935; American Midland Naturalist 16: 798-800).</t>
  </si>
  <si>
    <t>Houseal and Carr (1983; The Southwestern Naturalist 28:237-248).</t>
  </si>
  <si>
    <t>Zuffi et al. (1999; Journal of Zoology 247:139-143).</t>
  </si>
  <si>
    <t>Hennig (2003; Radiata 12(1):28-34); reprinted in Hennig (2008; Reptilia 56:67-71).</t>
  </si>
  <si>
    <t>Iran Jaya</t>
  </si>
  <si>
    <t>Oaxaca Mexico</t>
  </si>
  <si>
    <t>Manitoba</t>
  </si>
  <si>
    <t>49-50</t>
  </si>
  <si>
    <t>Nebraska (Beem)</t>
  </si>
  <si>
    <t>Nebraska (Swan)</t>
  </si>
  <si>
    <t>Nebraska (Hansen's)</t>
  </si>
  <si>
    <t>Nebraska (Dobbins)</t>
  </si>
  <si>
    <t>SW Ontario</t>
  </si>
  <si>
    <t>Russia</t>
  </si>
  <si>
    <t>Ukraine</t>
  </si>
  <si>
    <t>Lithuania</t>
  </si>
  <si>
    <t>Poland</t>
  </si>
  <si>
    <t>Jablonski and Jablonska (1998. Mertensiella 10:141-146).</t>
  </si>
  <si>
    <t>Germany</t>
  </si>
  <si>
    <t>Slovakia</t>
  </si>
  <si>
    <t>Dagestan</t>
  </si>
  <si>
    <t>PA and NJ</t>
  </si>
  <si>
    <t>Bernhardt et al. (1995) in Schilde (2004. Asiatische Schildkröten).</t>
  </si>
  <si>
    <t>not specified</t>
  </si>
  <si>
    <t>Sulawesi</t>
  </si>
  <si>
    <t>S India</t>
  </si>
  <si>
    <t>Luison and Redaelli (2009; Emys 16(1):19-25).</t>
  </si>
  <si>
    <t>Rhodin and McCord (1990; Herpetological Review 21:51-52).</t>
  </si>
  <si>
    <t>Meier and Schaefer (2008; Radiata 17(3):17-38); Meirer and Schaefer (2003; Radiata 12(2):3-20).</t>
  </si>
  <si>
    <t>Bjorndal et al. (1985; Biological Conservation 34:353-368).</t>
  </si>
  <si>
    <t>Hirth and Latif (1980; Biological Conservation 17:125-130).</t>
  </si>
  <si>
    <t>Frazier (1983; Ciencia Pesquera Instituto Nacional de Pesca Seria Pesca Mexico  4:49-75).</t>
  </si>
  <si>
    <t>Limpus et al. (1984;  Australian Wildlife Research 11:579-587).</t>
  </si>
  <si>
    <t>Flausin et al. (1997; Revista de Biología Tropical 45:663-666).</t>
  </si>
  <si>
    <t>Berezanski (1999; Blue Jay 57:50-55).</t>
  </si>
  <si>
    <t>Brooks et al. (1986; SSAR/HL meetings abstracts p.68).</t>
  </si>
  <si>
    <t>Burke et al. (2018; Journal of Natural History 52:1723-1732).</t>
  </si>
  <si>
    <t>Congdon et al. (1994; American Zoologist 34:397-408).</t>
  </si>
  <si>
    <t>Edgren (1949; Chicago Academy of Sciences Natural History Miscellanea 53:1).</t>
  </si>
  <si>
    <t>Hammer (1969; Journal of Wildlife Management 33:995-1005).</t>
  </si>
  <si>
    <t>Smith et al. (1983; Transactions of the Missouri Academy of Science 17:37-58).</t>
  </si>
  <si>
    <t>Wilhoft (1983; American Zoologist 23:963).</t>
  </si>
  <si>
    <t>Wilhoft (1986; Comparative Biochemistry and Physiology Part A: Physiology 84A:483-486).</t>
  </si>
  <si>
    <t>Moll (1994; Chelonian Conservation Biology 1:107-116). Same site as Moll and Moll (1990; In: Gibbons. Life History and Ecology of the Slider Turtle pp. 152-161).</t>
  </si>
  <si>
    <t>Tikader and Sharma (1985; Handbook Indina Tesudines).</t>
  </si>
  <si>
    <t>Inskeep (1984; British Journal of Herpetology 6:383-384); Inskeep (1984; British Herpetological Society Bulletin 9:28-29).</t>
  </si>
  <si>
    <t>Reimer (1986; Notes from Noah 13(11):7-10).</t>
  </si>
  <si>
    <t>Meier (2000; Schildkröten pp. 53-68).</t>
  </si>
  <si>
    <t>Geller et al. (2020; Herpetological Review 51:314).</t>
  </si>
  <si>
    <t>Hirth and Ogren (1987; National Oceanic and Atmospheric Administration Technical Report National Marine Fisheries Service 56:1-14).</t>
  </si>
  <si>
    <t>Hirth et al. (1993; Biological Conservation 65:77-82).</t>
  </si>
  <si>
    <t>Limpus et al. (1979; Australian Wildlife Research 6:105-116).</t>
  </si>
  <si>
    <t>Limpus et al. (1984; Australian Wildlife Research 11:567-571).</t>
  </si>
  <si>
    <t>Christiansen and Moll (1973; Herpetologica 29:152-163).</t>
  </si>
  <si>
    <t>Mahmoud (1968; Herpetologica 24:158-162).</t>
  </si>
  <si>
    <t>Moll (1973; Herpetologica 29:307-318).</t>
  </si>
  <si>
    <t>Rhodin and Mittelhauser (1994; Chelonian Conservation and Biology 1:148-150).</t>
  </si>
  <si>
    <t>Rhodin and Mittelhauser (1994; Chelonian Conservation and Biology 1:148-150); and Rozycki (1998; Thesis Bard College).</t>
  </si>
  <si>
    <t>Rowe (1995; Journal of Herpetology 29:73-79).</t>
  </si>
  <si>
    <t>Rozycki (1998; Thesis Bard College).</t>
  </si>
  <si>
    <t>Schwarzkopf and Brooks (1986; Canadian Journal of Zoology 64:1148-1151).</t>
  </si>
  <si>
    <t>Smithberger and Swart (1993; Maryland Naturalist 37(3):28-46).</t>
  </si>
  <si>
    <t>Wilbur (1975; Ecology 56:64-77).</t>
  </si>
  <si>
    <t>Andreas and Paul (1998; Mertensiella 10:29-32).</t>
  </si>
  <si>
    <t>Novotny et al. (2004; Biologia Bratislava 59(suppl. 14):113-121).</t>
  </si>
  <si>
    <t>Mazanaeva and Orlova (2004; Biologia Bratislava 59(suppl. 14):47-53).</t>
  </si>
  <si>
    <t>Schneeweiss (1998; Mertensiella 10:219-226); and Schneeweis et al. (1998; Mertensiella 10:227-234).</t>
  </si>
  <si>
    <t>Seramour and Seramour (1979; Bulletin de la Société Herpétologique de France 12:1-6).</t>
  </si>
  <si>
    <t>Servan and Pieau (1984; Bulletin de la Société Herpétologique de France 31:20-26).</t>
  </si>
  <si>
    <t>Snieshkus (1998; Mertensiella 10:253-258).</t>
  </si>
  <si>
    <t>Christens and Bider (1986; Canadian Journal of Zoology 64:914-920).</t>
  </si>
  <si>
    <t>De Bruin (pers. comm) in Schilde (2004; Asiatische Schildkröten).</t>
  </si>
  <si>
    <t>Fiebig (pers. comm) in Schilde (2004; Asiatische Schildkröten).</t>
  </si>
  <si>
    <t>Praedicow (pers. comm) in Schilde (2004; Asiatische Schildkröten).</t>
  </si>
  <si>
    <t>Schilde, in Schilde (2004; Asiatische Sumpfschildkröten - Die Familie Geoemydidae in Südostasien, China und Japan).</t>
  </si>
  <si>
    <t>Philippen (pers. comm) in Schilde (2004; Asiatische Sumpfschildkröten - Die Familie Geoemydidae in Südostasien, China und Japan).</t>
  </si>
  <si>
    <t>Tertysnikow and Gorowaja (1984; Fauna Stawropolia 3:48-91) in Fritz in Fritz (2001; Handbuch der Reptilien und Amphibien Europas 3/III Schildkröten, pp. 343-515).</t>
  </si>
  <si>
    <t>Zinenko (2004; Biologia Bratislava 59(suppl. 14):149-151).</t>
  </si>
  <si>
    <t>Herman  (1987; Bulletin of the Maryland Herpetological Society 23(3):122-124).</t>
  </si>
  <si>
    <t>Herman (1983; Herpetological Review 14:122).</t>
  </si>
  <si>
    <t>Lane (1935; Thesis Cornell University) in Barton and Price (1955; Copeia 1955:159-165).</t>
  </si>
  <si>
    <t>Ryan (1981; Bulletin of the Maryland Herpetological Society 17(3):102-106).</t>
  </si>
  <si>
    <t>Wright (1918; Copeia 52:5-7).</t>
  </si>
  <si>
    <t>Zovickian (1971; Bulletin of the Maryland Herpetological Society 7(2):43-45).</t>
  </si>
  <si>
    <t>Fritz and Obst (1999; Sauria 21(1):11-26).</t>
  </si>
  <si>
    <t>Schilde (1999), in Schilde (2004; Asiatische Sumpfschildkröten - Die Familie Geoemydidae in Südostasien, China und Japan).</t>
  </si>
  <si>
    <t>Schilde (2015; Marginata 47:16-21).</t>
  </si>
  <si>
    <t>Schilde (2003; Reptilia 26:27-29).</t>
  </si>
  <si>
    <t>Richmond (1945; Copeia 1945:217-219).</t>
  </si>
  <si>
    <t>Skorepa and Ozment (1968; Transactions of the Illinois Academy of Science 61:247-251).</t>
  </si>
  <si>
    <t>Montaño-Ruvalcaba et al. (2020; Herpetological Review 51:315-316).</t>
  </si>
  <si>
    <t>Carlino (2012; Radiata 21:23-35).</t>
  </si>
  <si>
    <t>Dean and Bickham (1980; unpublished manuscript).</t>
  </si>
  <si>
    <t>Goode (1991; Joint Annual Meetings of the Society for the Study of Amphibians and Reptiles and the Herpetologists League [Abstract]).</t>
  </si>
  <si>
    <t>Goode (1994; In Murphy and Adler, Captive Management and Conservation of Amphibians and Reptiles Pp. 275-295).</t>
  </si>
  <si>
    <t>Pellegrin (2011; Reptilia 77:29-34).</t>
  </si>
  <si>
    <t>Sachsse and Schmidt (1976; Salamandra 12:5-16).</t>
  </si>
  <si>
    <t>Schilde (2015; Marginata 47:22-28).</t>
  </si>
  <si>
    <t>Schmidt (1970; Salamandra 6(1-2):3-10).</t>
  </si>
  <si>
    <t>Smith et al. (2011; IRCF Reptiles and Amphibians 18:55-56).</t>
  </si>
  <si>
    <t>Zimmerman (1986; Breeding Terrarium Animals; Amphibians and Reptiles. TFH).</t>
  </si>
  <si>
    <t>Bakowskie and Bakowskie (2011; Radiata 20:38-56).</t>
  </si>
  <si>
    <t>Felsner (2001; Emys 8(6):14-25).</t>
  </si>
  <si>
    <t>Felsner (1999; Emys 6(1):4-14).</t>
  </si>
  <si>
    <t>Felsner (2005; Marginata 5:13-19).</t>
  </si>
  <si>
    <t>Sátorhelyi and Farkas (2006; In Artner et al. [2006]; Turtles: Proceedings: International Turtle and Tortoise Symposium, Vienna 2002 pp. 292-297).</t>
  </si>
  <si>
    <t>Hofer (2006; In Artner et al. [2006]; Turtles: Proceedings: International Turtle and Tortoise Symposium, Vienna 2002pp 239-243).</t>
  </si>
  <si>
    <t>Dodd et al. (1988; Bulletin of the Florida State Museum Biological Sciences 34(1):1-64).</t>
  </si>
  <si>
    <t>Praschag (2005; Marginata 5:20-30).</t>
  </si>
  <si>
    <t>Nolan (1991; Testudo 3(3):1-3)</t>
  </si>
  <si>
    <t>Sachsse (1977; Salamandra 13:157-165).</t>
  </si>
  <si>
    <t>Cagle (1937; Journal of the Tennessee Academy of Science 12(1):87-95).</t>
  </si>
  <si>
    <t>Conant and Downs (1940; Zoologica 25:33-48).</t>
  </si>
  <si>
    <t>Davis (1996; Thesis Southwest Missouri State University).</t>
  </si>
  <si>
    <t>Edgren (1942; Chicago Naturalist 5(2):63).</t>
  </si>
  <si>
    <t>Edgren (1956; Chicago Academy of Sciences Natural History Miscellanea 152:1-3).</t>
  </si>
  <si>
    <t>Edgren (1960; Copeia 1960:60-61).</t>
  </si>
  <si>
    <t>Ernst (1986; Journal of Herpetology 20:341-352).</t>
  </si>
  <si>
    <t>Ernst et al. (1997;  Bulletin of the Maryland Herpetological Society 33(1):1-62).</t>
  </si>
  <si>
    <t>Gibbons (1970; Herpetologica 26:268-270).</t>
  </si>
  <si>
    <t>Gross (1982; Thesis University of South Florida).</t>
  </si>
  <si>
    <t>Holinka et al. (2003; Chelonian Conservation and Biology 4:721-725).</t>
  </si>
  <si>
    <t>Lindeman (2020; Journal of North American Herpetology 2020(1):13-17).</t>
  </si>
  <si>
    <t>Lindsay (1965; Ontario Field Biologist 19:9-10)</t>
  </si>
  <si>
    <t>McPherson and Marion (1983; Journal of Herpetology 17:181-184).</t>
  </si>
  <si>
    <t>Pewtress (1990; Reptiles: Proceedings of the 1988 U.K. Herpetological Societies Symposium on Captive Breeding pp. 73-78).</t>
  </si>
  <si>
    <t>Powell and Phillips (1984; Herpetological Review 15(2):51).</t>
  </si>
  <si>
    <t>Risley (1933; Papers of the Michigan Academy of Science, Arts and Letters 17:685-711).</t>
  </si>
  <si>
    <t>Sanderson (1970; Bulletin of the Maryland Herpetological Society 6(4):81-82).</t>
  </si>
  <si>
    <t>Thierfeldt and Höfler-Thierfeldt (2005; Radiata 14(1):12-22).</t>
  </si>
  <si>
    <t>Tucker and Lamar (2005; Herpetological Review 36:314).</t>
  </si>
  <si>
    <t>Brown (1992; NYTTS Newsletter 3(3):9).</t>
  </si>
  <si>
    <t>Büttner (2003; Radiata 12:9-14).</t>
  </si>
  <si>
    <t>Harding (1981; Bulletin of the Chicago Herpetological Society16(4):86-94).</t>
  </si>
  <si>
    <t>Werner (1924; Denkschrit. Akademie der Wissenschaften in Wien. Mathematisch-Naturwissenschaftliche Klasse 99:263-273).</t>
  </si>
  <si>
    <t>Prokop (2010; Radiata 19:2-27).</t>
  </si>
  <si>
    <t>Prokop (2005; Emys 12(2):4-16).</t>
  </si>
  <si>
    <t>Büttner (2004; Radiata 13(4):13-18).</t>
  </si>
  <si>
    <t>Klein (2006; Radiata 15(3):12-18).</t>
  </si>
  <si>
    <t>Prokop and Artner (2004; Emys 11(4):4-18).</t>
  </si>
  <si>
    <t>C. Hagen (2020; pers. comm. to JBI).</t>
  </si>
  <si>
    <t>Haagner (1994; African Herp News 21:18).</t>
  </si>
  <si>
    <t>Akani (2015; Herpetozoa 28(1/2):94-98).</t>
  </si>
  <si>
    <t>Anderson (1995; African Herpetological News 23:46).</t>
  </si>
  <si>
    <t>Kyle and Mostert (1998; Lammergeyer 45:39-40).</t>
  </si>
  <si>
    <t>Budde (1991; Salamandra 27:213-215).</t>
  </si>
  <si>
    <t>Gad (2007; Emys 14:4-18).</t>
  </si>
  <si>
    <t>Gong et al. (2019; Ecology and Evolution 9:9869-9877).</t>
  </si>
  <si>
    <t>Platt et al. (2020; Herpetological Review 51:266-267).</t>
  </si>
  <si>
    <t>Walsh and Russell (1998; Reptiles 23:66-75).</t>
  </si>
  <si>
    <t>Yelin et al. (2019; Radiata 28(1):55-65).</t>
  </si>
  <si>
    <t>Kuchling (1993; Salamandra 28:231-250); and Kuchling (1993; Journal of Herpetology 27:470-472).</t>
  </si>
  <si>
    <t>Hammer (2013; Chelonion Research Monographs 6:119-123).</t>
  </si>
  <si>
    <t>Davis (1979; International Zoo Yearbook 19:50-53).</t>
  </si>
  <si>
    <t>Guix et al. (1989; Grupo de Estudos Ecologicos Serie Documentos 1:20-31).</t>
  </si>
  <si>
    <t>Houbrix (2007; Manouria 10(36):12-18).</t>
  </si>
  <si>
    <t>Schipperijn (1992; Lacerta 50(6):205-206).</t>
  </si>
  <si>
    <t>Vokins (1977; Dodo 14:73-80).</t>
  </si>
  <si>
    <t>Casares et al. (1995; International Zoo Yearbook 34:135-143).</t>
  </si>
  <si>
    <t>Rostal et al. (1989; AAZPA Annual Meetings Proceedings pp. 473-479).</t>
  </si>
  <si>
    <t>Henen (1997; Ecology 78:283-296).</t>
  </si>
  <si>
    <t>Turner et al. (1987; Desert Tortoise Council Proceedings of Symposium 9:68-82).</t>
  </si>
  <si>
    <t>Averill-Murray et al. (2014; In Rostal et al. [2014] Biology and Conservation of North American Tortoises pp. 110-117).</t>
  </si>
  <si>
    <t xml:space="preserve">McCoy et al. (2014; In Rostal et al. [2014] Biology and Conservation of North American Tortoises pp. 134-142). </t>
  </si>
  <si>
    <t>Averill-Murray et al. (2018; Herpetological Monographs 32:34-50).</t>
  </si>
  <si>
    <t>Murray et al. (1995, Desert Tortoise Council Proceedings of Symposium 19:49-50).</t>
  </si>
  <si>
    <t>Murray et al. (1996; Herpetological Natural History 4:83-88).</t>
  </si>
  <si>
    <t>Stitt (2004; Thesis University of Arizona) in Averill-Murray et al. (2004; In Rostal et al. (2014. Biology and Conservation of North American Tortoises pp. 110-117).</t>
  </si>
  <si>
    <t>Berish and Leone (2014; Southeastern Naturalist 13:639-648).</t>
  </si>
  <si>
    <t>Hurley et al. (1992. Abstract SSAR meetings p. 60); Hurley (1993;. Abstract SSAR meetings p. unnumbered).</t>
  </si>
  <si>
    <t>Taylor (1982; Thesis University of Florida)</t>
  </si>
  <si>
    <t>Bustard (2002; Herpetological Bulletin 80:26-30).</t>
  </si>
  <si>
    <t>Coakley and Klemens (1983; Herpetological Review 14:43-44).</t>
  </si>
  <si>
    <t>Hine (1980; Testudo 1:40-43).</t>
  </si>
  <si>
    <t>Wright (1982; Thesis Clemson University) in Averill-Murray et al. (2014; In Rostal et al. [2014] Biology and Conservation of North American Tortoises pp. 110-117).</t>
  </si>
  <si>
    <t>Jost (2006; in Artner et al [2006] Turtles: Proceedings: International Turtle and Tortoise Symposium, Vienna 2002 pp.382-392).</t>
  </si>
  <si>
    <t>Poglayen-Neuwall (1983; Zoologische Garten N.F., Jena 53:217-225).</t>
  </si>
  <si>
    <t>Rowe and Janulaw (1971; International Turtle Tortoise Society Journal 5:20-30)</t>
  </si>
  <si>
    <t>Smith (1985; Testudo 2(3):1-7).</t>
  </si>
  <si>
    <t>Mishra (1986; Hamadryad 11(1-2):15-16).</t>
  </si>
  <si>
    <t>V. Paez (pers.communication).</t>
  </si>
  <si>
    <t>Gillingwater (2001; Unpubl. Report ), in Lindeman (2013; Map Turtle and Sawback Atlas).</t>
  </si>
  <si>
    <t>Japan (neritic)</t>
  </si>
  <si>
    <t>Japan (oceanic)</t>
  </si>
  <si>
    <t>Ascension Island</t>
  </si>
  <si>
    <t>S. Yemen</t>
  </si>
  <si>
    <t>Oman</t>
  </si>
  <si>
    <t>Nicaragua</t>
  </si>
  <si>
    <t>Lepidochelys kempi</t>
  </si>
  <si>
    <t>Grand Cayman</t>
  </si>
  <si>
    <t>composite</t>
  </si>
  <si>
    <t>van Buskirk and Crowder (1994. Copeia 1994:66-81).</t>
  </si>
  <si>
    <t>Puerto Rico</t>
  </si>
  <si>
    <t>Pennsylvania (introduced)</t>
  </si>
  <si>
    <t>Illinois (Lake Baldwin -heated)</t>
  </si>
  <si>
    <t>Illinois (Dry Lake)</t>
  </si>
  <si>
    <t>Louisiana (Ouachita River)</t>
  </si>
  <si>
    <t>TX-LA (Sabine River)</t>
  </si>
  <si>
    <t>Ehrhart (1977; Semi-Annual Report to NASA VI:350-494).</t>
  </si>
  <si>
    <t>Hatase et al. (2014; Journal of Experimental Marine Biology and Ecology 455:56-61).</t>
  </si>
  <si>
    <t>Tiwari and Bjorndal (2000; Herpetologica 56:343-356).</t>
  </si>
  <si>
    <t>van Buskirk and Crowder (1994; Copeia 1994:66-81).</t>
  </si>
  <si>
    <t>Karácsonyi (2007; Radiata16(1):24-33).</t>
  </si>
  <si>
    <t>Struijk (2009; Radiata 18:53-58).</t>
  </si>
  <si>
    <t>Vroom (1983; Testudo 2(2):12-17).</t>
  </si>
  <si>
    <t>Melancon et al. (2011; Southeastern Naturalist 10:399-408).</t>
  </si>
  <si>
    <t>Tucker et al. (2001; Bulletin of the Maryland Herpetological Society 37:83-100).</t>
  </si>
  <si>
    <t>Hofmeyr et al. (2020; Acta Zoologica 101:39-50).</t>
  </si>
  <si>
    <t>Loehr (1999; Chelonian Conservation and Biology 3:468-473).</t>
  </si>
  <si>
    <t>Carr et al. (2008; Abstract Turtle Survival Alliance p. 11).</t>
  </si>
  <si>
    <t>Gregor (pers. com; in Lindeman (2013; Map Turtle and Sawback Atlas).</t>
  </si>
  <si>
    <t>Burne (2012; The Batagur 2:22-28); Burne (2012; Radiata 21(4):24-29).</t>
  </si>
  <si>
    <t>Schilde (2018; Radiata 27(1):10-15).</t>
  </si>
  <si>
    <t>Janssen and Janssen (2009; Radiata 18(4):2-8).</t>
  </si>
  <si>
    <t>Büttner (2016; Radiata 25(3):4-12).</t>
  </si>
  <si>
    <t>Büttner (2016; Radiata 25(3):4-14?)</t>
  </si>
  <si>
    <t>McCurtain County, Oklahoma</t>
  </si>
  <si>
    <t>Bonach et al. (2006; Amphibia-Reptilia 27:55-61).</t>
  </si>
  <si>
    <t>numerous</t>
  </si>
  <si>
    <t>NE Brazil</t>
  </si>
  <si>
    <t>St. Croix</t>
  </si>
  <si>
    <t>Addison (1996; Marine Turtle Newsletter 75:13-15).</t>
  </si>
  <si>
    <t>Avens and Snover (2013; Biology of the Sea Turtles Volume III:97-133).</t>
  </si>
  <si>
    <t>Baptistotte et al. (2003; Chelonian Conservation and Biology 4:523-529).</t>
  </si>
  <si>
    <t>Baran and Turkozan (1996; Chelonian Conservation and Biology 2:93-96).</t>
  </si>
  <si>
    <t>Bjorndal and Meylan (1983; Biological Conservation 26:65-77).</t>
  </si>
  <si>
    <t>Brandner (1983; Herpetological Review 14:110).</t>
  </si>
  <si>
    <t>Caldwell (1959; Bulletin of the Florida State Musuem, Biological Sciences 4(10):319-348).</t>
  </si>
  <si>
    <t>Erk'akan (1993; Biological Conservation 66:1-4).</t>
  </si>
  <si>
    <t>Armstrong (1980; Herpetofauna 11(2):27).</t>
  </si>
  <si>
    <t>Frazer and Richardson (1985; Herpetologica 41:246-251).</t>
  </si>
  <si>
    <t>Guarino et al. (2020; Herpetozoa 33:39-51).</t>
  </si>
  <si>
    <t>Hays and Speakman (1991; Journal of Animal Ecology 60:455-462).</t>
  </si>
  <si>
    <t>Kaufmann (196;. Mitt. Inst. Colombo-Alemán Invest. Cient. 2:45-56).</t>
  </si>
  <si>
    <t>LeBuff and Betty (1971; Herpetologica 27:153-156).</t>
  </si>
  <si>
    <t>Limpus (1973; Herpetologica 29:42-45).</t>
  </si>
  <si>
    <t>Margaritoulis (2005; Chelonian Conservation and Biology 4:916-929).</t>
  </si>
  <si>
    <t>Turkozan (2000; Chelonian Conservation and Biology 3:686-692).</t>
  </si>
  <si>
    <t>Carr and Ogren (1960; Bulletin of the American Museum of Natural History 121(1):1-48).</t>
  </si>
  <si>
    <t>Chen and Cheng (1995; Marine Biology 124:9-15).</t>
  </si>
  <si>
    <t>Hirth and Carr (1970; Verhandelingen Koninklijke Nederlandse Akademie van Wetenschappen, Afdeling Natuurkunde 63(5):1-44).</t>
  </si>
  <si>
    <t>Johnson (1992; Florida Scientist 55(Supplement 1):25).</t>
  </si>
  <si>
    <t>Johnson and Ehrhart (1996; Journal of Herpetology 30:407-410).</t>
  </si>
  <si>
    <t>Mortimer and Carr (1987; Copeia 1987:103-113).</t>
  </si>
  <si>
    <t>Simon and Parkes (1976; Journal of Zoology London 179:153-163).</t>
  </si>
  <si>
    <t>Simon et al. (1975; Journal of Zoology London 177:411-423).</t>
  </si>
  <si>
    <t>Almengor et al. (1994; Herpetological Review 25:24).</t>
  </si>
  <si>
    <t>Frazier (1984; pp. 417-468. In: Stoddard D.R. (ed). Biogeography and Ecology of the Seychelles Islands).</t>
  </si>
  <si>
    <t>Laguex et al. (2003; Chelonian Conservation and Biology 4:588-602).</t>
  </si>
  <si>
    <t>Loop et al. (1995; Wildlife Research 22:241-255).</t>
  </si>
  <si>
    <t>Ross (1981; Biological Conservation 19:99-106).</t>
  </si>
  <si>
    <t>Snover et al. (2013; Marine Biology 160:37-46).</t>
  </si>
  <si>
    <t>Wood (1986; Biological Conservation 37:321-332).</t>
  </si>
  <si>
    <t>Bjorndal et al. (2014; Endangered Species Research 25:57-67).</t>
  </si>
  <si>
    <t>Márquez et al. (1982; pp. 159-164 in Bjorndal. Biology and Conservation of Sea Turtles).</t>
  </si>
  <si>
    <t>Pritchard and Márquez (1973; International Union for Conservation of Nature and Natural Resources Monograph (Marine Turtle Series) 2:1-30).</t>
  </si>
  <si>
    <t>Witzell et al. (2005; Chelonian Conservation and Biology 4:781-787).</t>
  </si>
  <si>
    <t>Wood and Wood (1988; Herpetological Journal 1:247-249).</t>
  </si>
  <si>
    <t>Abraham (1990; Hamadryad 15:10-12).</t>
  </si>
  <si>
    <t>Petitet et al. (2015; Marine Ecology Progress Series 54:205-218).</t>
  </si>
  <si>
    <t>Zug et al. (2006; Marine Ecology 27:263-270).</t>
  </si>
  <si>
    <t>Norris-Elye (1949; Canadian Field-Naturalist 63:145-147).</t>
  </si>
  <si>
    <t>Boulon et al. (1996; Chelonian Conservation and Biology 2:141-147).</t>
  </si>
  <si>
    <t>Campbell et al. (1996; Chelonian Conservation and Biology 2:169-172).</t>
  </si>
  <si>
    <t>Chaves et al. (1996; Chelonian Conservation and Biology 2:184-189).</t>
  </si>
  <si>
    <t>Chua and Furtado (1988; Journal of Herpetology 22:208-218).</t>
  </si>
  <si>
    <t>Fretey (1980; Revue d'écologie (Terre Vie) 34:649-654).</t>
  </si>
  <si>
    <t>Hughes (1996; Chelonian Conservation and Biology 2:153-158).</t>
  </si>
  <si>
    <t>Leslie et al. (1996; Chelonian Conservation and Biology 2:159-168).</t>
  </si>
  <si>
    <t>Steyermark et al. (1996; Chelonian Conservation and Biology 2:173-183).</t>
  </si>
  <si>
    <t>Tucker and Frazer (1991; Herpetologica 47:115-124); Tucker (1988; Res. Report. USFWS).</t>
  </si>
  <si>
    <t>Powell (1967; Canadian Field-Naturalist 81:134-140).</t>
  </si>
  <si>
    <t>Ross (1989; Wisconsin Academy of Sciences, Arts and Letters 77:77-84).</t>
  </si>
  <si>
    <t>Tucker (1978; Bulletin of Maryland Herpetological Society 14:223-232).</t>
  </si>
  <si>
    <t>Tucker et al. (1978; Bulletin of Maryland Herpetological Society 14(1): 10-22).</t>
  </si>
  <si>
    <t>Tucker et al. (2001; Bulletin Maryland Herpetological Society 37:83-100).</t>
  </si>
  <si>
    <t>Tucker (1995; Bulletin of the Chicago Herpetological Society 30(3):41-43).</t>
  </si>
  <si>
    <t>Tucker (1996; Herpetological Review 27:142).</t>
  </si>
  <si>
    <t>Tucker (2000; Herpetological Natural History 7:171-174).</t>
  </si>
  <si>
    <t>Tucker and Moll (1997; Chelonian Conservation and Biology 2:352-357).</t>
  </si>
  <si>
    <t>Powell (1967; Canadian Field-Natural 81:134-140).</t>
  </si>
  <si>
    <t>Ross et al. (1991; Canadian Field-Naturalist 105:363-367).</t>
  </si>
  <si>
    <t>Lindeman (2001; Chelonian Conseration and Biology 4:223-224).</t>
  </si>
  <si>
    <t>Allman et al. (2012; Physiological and Biochemical Zoology 85:442-449).</t>
  </si>
  <si>
    <t>Congello (1978; Proceedings of the Pennsylvania Academy of Science 52:51-56).</t>
  </si>
  <si>
    <t>Allard (1948; J. Tennessee Acad Sci. 23:307-321). See also Allard (1935; Scientific Monthly 41:325-338).</t>
  </si>
  <si>
    <t>Cook (2004; Applied Herpetology 1:197-228).</t>
  </si>
  <si>
    <t>Stuart and Miller (1987; Brimleyana 13:123-131).</t>
  </si>
  <si>
    <t>Warner (1982; Herpetological Review 13:48-49).</t>
  </si>
  <si>
    <t>Messinger and Patton (1995; Herpetological Review 26:193-195).</t>
  </si>
  <si>
    <t>Cerda and Waugh (1992; Dodo 28:126-142).</t>
  </si>
  <si>
    <t>Kamprath (1990; Sauria 12(1):11-14).</t>
  </si>
  <si>
    <t>Molina and Gomes (1998; Revista Brasileira de Zoologia 15:135-143).</t>
  </si>
  <si>
    <t>Stuart and Painter (1997; Herpetological Review 28:149-150).</t>
  </si>
  <si>
    <t>Manchester (1982; Testudo 2:27-30).</t>
  </si>
  <si>
    <t>Glidewell (1984; Dissertation North Texas Satate University).</t>
  </si>
  <si>
    <t>Thornhill (1982; Journal of Herpetology 16:347-353).</t>
  </si>
  <si>
    <t>Vyas (2001; Zoos' Print Journal 16(10):600-603).</t>
  </si>
  <si>
    <t>Ernst et al. (1973; Herpetologica 29:247-250).</t>
  </si>
  <si>
    <t>Valenzuela (2001; Journal of Herpetology 35:368-378).</t>
  </si>
  <si>
    <t>Webb et al. (1986; Journal of Zoology 1:521-550); Römpp (2006; The pig-nosed turtle Carettochelys insculpta Ramsay, 1886: a fascinating turtle from Indoaustralia) in Artner et al. (2006; Turtles Proceedings: International Turtle and Tortoise Symposium).</t>
  </si>
  <si>
    <t>Parmenter (1976; Thesis University of New England); Parmenter (1985; In Grigg et al. Biol. Australasian Frogs and Reptiles.pp 54-61).</t>
  </si>
  <si>
    <t>Maran (2006; Emys 13:5-26); Maran (2006; in Artner et al. 2006 Turtles).</t>
  </si>
  <si>
    <t>Medem (1969. Caldasia 10(48):329-353).</t>
  </si>
  <si>
    <t>Okuyama et al. (2020; Chelonian Conservation and Biology 19:101-110).</t>
  </si>
  <si>
    <t>Geldiay et al. (1981; In Bjorndal, Conservation and Biology of Sea Turtles, pp.425-434).</t>
  </si>
  <si>
    <t>Rosscoe and Holmstrom (1996; In Strimple, Advances in Herpetoculture pp. 47-50).</t>
  </si>
  <si>
    <t>Lukina (1970; Ékologiya 3:99-100).</t>
  </si>
  <si>
    <t>Ernst (1977; Herpetologica 33:241-246).</t>
  </si>
  <si>
    <t>Arndt (1972; Bulletin of the Maryland Herpetological Society 8(1):1-5)</t>
  </si>
  <si>
    <t>Cross (1980; Testudo 1(3):44-47).</t>
  </si>
  <si>
    <t>Meer Mohr (1933; De Tropische Natuur 1933:29-31).</t>
  </si>
  <si>
    <t>de Souza and Vogt (1994; Journal of Herpetology 28:453-464).</t>
  </si>
  <si>
    <t>Medem (1964; Senckenbergiana Biologica 45:353-368).</t>
  </si>
  <si>
    <t>Mondolphi (1955; Memorias Sociedad Ciencias Naturales La Salle 42:177-183).</t>
  </si>
  <si>
    <t>Herz (2014; Radiata 23(4):4-16).</t>
  </si>
  <si>
    <t>Haagner (1990; Journal of Herpetological Association of Africa 37:51).</t>
  </si>
  <si>
    <t>McKeown in Haagner (1990; Journal of Herpetological Association of Africa 37:51).</t>
  </si>
  <si>
    <t>McDougal and Castellano (1996; In Strimple Advances in Herpetoculture pp. 51-56).</t>
  </si>
  <si>
    <t>McMahon (1990; Journal of Herpetological Association of Africa 37:51).</t>
  </si>
  <si>
    <t>Gadeau de Kerrville (1907; Bulletin de la Société Zoologique de France 31:132-134).</t>
  </si>
  <si>
    <t>Webb (1962; University of Kansas Publications, Museum of Natural History 13(10):429-611).</t>
  </si>
  <si>
    <t>Breckenridge (1955; Copeia 1955:5-9); and Webb (1962; University of Kansas Publications, Museum of Natural History 13(10):429-611).</t>
  </si>
  <si>
    <t>Moll (1994; Chelonian Conservation Biology 1:107-116);  Same site as Moll and Moll (1990; In: Gibbons. Life History and Ecology of the Slider Turtle pp. 152-161).</t>
  </si>
  <si>
    <t>Waller et al. (1989; Field report. 8 pp.); Waller and Micucci (1997;  Proceedings: Conservation, Restoration, and Management of Tortoises and Turtles - An International Conference pp. 2-9); Waller and Micucci (1995; Desert Tortoise Council Proceedings  p. 184).</t>
  </si>
  <si>
    <t>Branch (1989; In Swingland and Klemens. Conservation Biology of Tortoises); Boycott and Bourquin (1988; The African Tortoise Book); Loveridge and Williams (1957; Bulletin of the Museum of Comparative Zoology at Harvard College 115:163-557)</t>
  </si>
  <si>
    <t>trimeni, South Africa</t>
  </si>
  <si>
    <t>Egypt</t>
  </si>
  <si>
    <t>Tikader and Sharma (1985; Handbook Indian Tesudines).</t>
  </si>
  <si>
    <t>Métrailler (2005; Emys 12(4):28-35); Métrailler (2006; Husbandry and reproduction of Platemys platycephala) in Artner et al. (2006; Turtles Proceedings: International Turtle and Tortosie Symposium).</t>
  </si>
  <si>
    <t>Kerala, India</t>
  </si>
  <si>
    <t>Jayakar and Spurway (1966. J. Bombay Nat. Hist. Soc. 63(1):83-14).</t>
  </si>
  <si>
    <t>Baluchistan</t>
  </si>
  <si>
    <t>Mocelin et al. (2008; South Amererican Journal of Herpetology 3(3):223-228).</t>
  </si>
  <si>
    <t>Mohan (1986; Indian Journal of Fisheries 33(1):39-44); IN: Das (1991; Colour Guide to the Turtles and Tortoises of the Indiana Subcontinent).</t>
  </si>
  <si>
    <t>Deraniyagala (1939; Tetrapod Reptiles of Ceylon).</t>
  </si>
  <si>
    <t>Das (1991; Colour Guide to the Turtles and Tortoises of the Indiana Subcontinent).</t>
  </si>
  <si>
    <t>Duda and Gupta (1982; Proceedings: Indian Animal Sciences 91(2):189-197).</t>
  </si>
  <si>
    <t>Zweitz (1988; The Forked Tongue 13(7):8-9);  IN: Das (1991; Colour Guide to the Turtles and Tortoises of the Indiana Subcontinent).</t>
  </si>
  <si>
    <t>Hempel (1988. Elaphe 10(2):21-24).  IN: Das (1991; Colour Guide to the Turtles and Tortoises of the Indiana Subcontinent).</t>
  </si>
  <si>
    <t>Minton (1966; Bulletin of the American Museum of Natural History 134(2):27-184).</t>
  </si>
  <si>
    <t>Robeerts (1975; Journal of the Bombay Natural History Society 72(1):206-209).</t>
  </si>
  <si>
    <t>Smith (1931; The Fauna of British India).</t>
  </si>
  <si>
    <t>Werner and Werner (1980. Elaphe 1:9-10),  IN: Das (1991; Colour Guide to the Turtles and Tortoises of the Indiana Subcontinent).</t>
  </si>
  <si>
    <t>Das (1991; Colour Guide to the Turtles and Tortoises of the Indian Subcontinent)</t>
  </si>
  <si>
    <t>Ahsan and Haque (1987; Bangla Academy Bijnan Patrika 13(2):15-39). IN: Das (1991; Colour Guide to the Turtles and Tortoises of the Indiana Subcontinent)).</t>
  </si>
  <si>
    <t>Souza et al. (2006; Boletín de la Asociación Herpetológica Española 17:28-34).</t>
  </si>
  <si>
    <t>Schaefer (2000; In Artner and Meier, Schildkröten 123-128); Schaeffer (1994; Salamandra 30:22-32).</t>
  </si>
  <si>
    <t>Rio Santa Maria, Chihuahua</t>
  </si>
  <si>
    <t>Heinroth (1943; DATZ 15(5/6):251-254).</t>
  </si>
  <si>
    <t>Corwin (1985; 9th International Herpetological Symposium on Captive Propagation and Husbandry pp. 121-124).</t>
  </si>
  <si>
    <t>Souza (1995; Thesis Universidade Estadual Paulista, Rio Claro).</t>
  </si>
  <si>
    <t>Basho and Molina (2000; Arquivos do Instituto Biológico, São Paulo 67 (suppl):67).</t>
  </si>
  <si>
    <t>Baard (1990; Thesis University of Stellenbosch).</t>
  </si>
  <si>
    <t>Hewitt (1934; Annals of the Natal Museum 7(3):303-349).</t>
  </si>
  <si>
    <t>Hewitt (1933; Annals of the Natal Museum 7(2):255-293).</t>
  </si>
  <si>
    <t>Zhao (1997; in Zhao, Sichuan Journal of Zoology 9(suppl.):159).</t>
  </si>
  <si>
    <t>Kammerer (1908; Blätter für Aquarien-und Terrarienkunde 19:757-769).</t>
  </si>
  <si>
    <t>Nicol (1970; Tortuga Gazette 6:4-8).</t>
  </si>
  <si>
    <t>Zimmermann (1983; Das Züchten von Terrarientieren: Pflege, Verhalten, Fortpflanzung).</t>
  </si>
  <si>
    <t>Castillo-Centeno (1986; Dissertation Universidad de Costa Rica); Iverson (unpublished data).</t>
  </si>
  <si>
    <t>van Loben Sels et al. (1995; In Debano et al. Biodiversity and Management of the Madrean Archipelago. Pp. 262-266).</t>
  </si>
  <si>
    <t>Schlauch (1969; International Turtle and Tortoise Society Journal 3:25).</t>
  </si>
  <si>
    <t>Seyjagat (1988; American Keeprs Forum 15:205).</t>
  </si>
  <si>
    <t>Steehouder (1994; Lacerta 52(5):107-110).</t>
  </si>
  <si>
    <t>Chin (1993; NYTTS NewsNotes 4(2):14-16).</t>
  </si>
  <si>
    <t>Popenoe (1992; NYTTS 3:9).</t>
  </si>
  <si>
    <t>Andreu et al. (2000; Asociaciou Herpetologica Espanola, Monografías de Herpetología 5:1-70)</t>
  </si>
  <si>
    <t>Cooper (1983; Testudo 2:33-36).</t>
  </si>
  <si>
    <t>Blake et al. (1994; NYTTS NewNotes 5(2):9-11).</t>
  </si>
  <si>
    <t>Velenská (2005; Marginata 61:6-21).</t>
  </si>
  <si>
    <t>Heimann (1987; Aquarien-Terrarien 34(1):29-31).</t>
  </si>
  <si>
    <t>Gregor (2013; Dakota Amphibian and Reptile News 6:14-18).</t>
  </si>
  <si>
    <t>Haagner and Morgan (1991; Journal of the Herpetological Association of Africa 39:26-27).</t>
  </si>
  <si>
    <t>Thieme (1978; Aquarien und Terrarien (Berlin) 25(1):30-33).</t>
  </si>
  <si>
    <t>Moll (1996; SSAR Meetings University of Kansas Abstracts p.37).</t>
  </si>
  <si>
    <t>Mitsukuri (1904; Bulletin of the United States Bureau of Fisheries 24:257-289); Coker (1906; North Carolina Geol. Surv. Bull. 14:1-69).</t>
  </si>
  <si>
    <t>Soini (1995; Informe de Pacaya 9).</t>
  </si>
  <si>
    <t>Soini (1995; Informe de Pacaya 19).</t>
  </si>
  <si>
    <t>Jackson and Jackson (1969, Quarterly J. FL Academy of Sci 31:199-204).</t>
  </si>
  <si>
    <t>Dodd and Franz (1994; The Association of Southeastern Biologists Bulletin. 41(2):101).</t>
  </si>
  <si>
    <t>DePari et al. (1987; Canadian Field-Naturalist 101:440-442).</t>
  </si>
  <si>
    <t>Loncke and Obbard (1977; Journal of Herpetology 11:243-244).</t>
  </si>
  <si>
    <t>Obbard (1983; PhD Dissertation University of Guelph); Galbraith et al. (1989; Copeia 896-904); Brooks et al. (1986; Abstract- SSAR).</t>
  </si>
  <si>
    <t>Carr (2001; Unpublished Report to the U.S. Geological Survey-BRD), in Lindeman (2013; Map Turtle and Sawback Atlas).</t>
  </si>
  <si>
    <t>Congdon et al. (2018; Evolutionary Ecology Research 19:353-364).</t>
  </si>
  <si>
    <t>Edmonds and Brooks (1996; Canadian Journal of Zoology 74:918-925).</t>
  </si>
  <si>
    <t>Engert (1986; Herpetofauna 8:17-22).</t>
  </si>
  <si>
    <t>Ellenton Bay, South Carolina</t>
  </si>
  <si>
    <t>Congdon et al. (1983; Ecology 64:419-425).</t>
  </si>
  <si>
    <t>Gibbons et al (1981; American Naturalist 117:841-845)</t>
  </si>
  <si>
    <t>Hertwig (2001; Salamandra 37:21-48).</t>
  </si>
  <si>
    <t>Hofer and Artner (2001; Emys 8(6):4-13).</t>
  </si>
  <si>
    <t>Hulse (1982; Southwestern Naturalist 27:447-456).</t>
  </si>
  <si>
    <t>Jackson (1988; Bulletin of the Florida State Museum Biological Sciences 33: 113-158)</t>
  </si>
  <si>
    <t>Roosenburg et al. (2005; Copeia 2005:417-423).</t>
  </si>
  <si>
    <t>Smith (1995; Bulletin of the Florida Museum of Natural History 38:97-126).</t>
  </si>
  <si>
    <t>Owens et al. (2019; Herpetological Review 50:772).</t>
  </si>
  <si>
    <t>Ito et al. (2012; Journal of Japanese Association of Zoos and Aquariums 53(2):41-47).</t>
  </si>
  <si>
    <t>Akre (2002; ASIH/HL/SSAR meeting abstract,  Kansas City, p 80).</t>
  </si>
  <si>
    <t>Inchaustegui Miranda (1973; Thesis Universidad de Autonoma de Santo Domingo).</t>
  </si>
  <si>
    <t>Casteel and Cobb (2007; JMIH St. Louis, Missouri).</t>
  </si>
  <si>
    <t>Brazil (CLV)</t>
  </si>
  <si>
    <t>Brazil (Taim)</t>
  </si>
  <si>
    <t>Turner (2020; North Queensland Naturalsit 50:44-54).</t>
  </si>
  <si>
    <t>Bager (1997; Thesis. Universidad Federal do Rio Grande do Sul).</t>
  </si>
  <si>
    <t>Limpus et al. (1984; Royal Soc. Queensland Symp. Pp. 61-78).</t>
  </si>
  <si>
    <t>Perez-Santigosa (2007; Thesis Univ. Sevilla).</t>
  </si>
  <si>
    <t>Bancroft et al. (1983; The herpetofauna of Lake Conway: species accounts. Miscellaneous Papers A).</t>
  </si>
  <si>
    <t>Tucker and Funk (1977; Bulletin of the Chicago Herpetological Society 12(2):53-57).</t>
  </si>
  <si>
    <t>Langmann (1987; Aquarien Terrarien 34:242-244).</t>
  </si>
  <si>
    <t>Rudolphi and Weser (2000; Sauria 22(3):17-24).</t>
  </si>
  <si>
    <t>Hailey (1990; Canadian Journal of Zoology 68:547-555).</t>
  </si>
  <si>
    <t>Fitch and Plummer (1975; Israel Journal of Zoology 24:28-42).</t>
  </si>
  <si>
    <t>Wiarda (2003;  Emys 10(6):4-19).</t>
  </si>
  <si>
    <t>Iverson (unpublished data); McCord (pers. comm.).</t>
  </si>
  <si>
    <t>Plummer (1977; Copeia 1977:440-447).</t>
  </si>
  <si>
    <t>Van Pelt and Van Putten (2006;  In Artner Turtles 2006: 409-418); van Pelt (2001; Radiata 10(4):24-29).</t>
  </si>
  <si>
    <t>Nolan (2002; Emys 9(3):4-19); Nolan (2006; in Artner et al. 2006 Turtles).</t>
  </si>
  <si>
    <t>Tabasco, Mexico (farm)</t>
  </si>
  <si>
    <t>Martins and Souza (2008; Journal of Herpetology 42:54-60).</t>
  </si>
  <si>
    <t>Blair (1976; Southwestern Naturalist 21:89-104).</t>
  </si>
  <si>
    <t xml:space="preserve">Torres et al. (2011; Kukulkab' 17(33):43-49). </t>
  </si>
  <si>
    <t>Lu and Hou (2003; Sichuan Journal of Zoology 22(1):22-23).</t>
  </si>
  <si>
    <t>Feng et al. (2004; Sichuan Journal of Zoology 23(3):243-248).</t>
  </si>
  <si>
    <t>Cox et al. (1991; Copeia 1991:954-968).</t>
  </si>
  <si>
    <t>Artner (2000; Schildkröten pp. 117-122).; Artner (2009; Emys 16(2):4-22).</t>
  </si>
  <si>
    <t>Harvan and Artner (2004; Emys 11(6):25-32); Harvan (2006; in Artner et al. 2006 Turtles).</t>
  </si>
  <si>
    <t>Broadley and Boycott (2008;  Conservation Biology of Freshwater Turtles and Tortoises: A Compilation Project of the IUCN/SSC Tortoise and Freshwater Turtle Specialist Group).</t>
  </si>
  <si>
    <t>Ewert et al. (2004; Herpetological Review 35:382-383).</t>
  </si>
  <si>
    <t>Haller and Rodrigues (2005; Herpetological Review 36:60).</t>
  </si>
  <si>
    <t>Pinckney (1990; Bulletin of Marine Science 47:670-679).</t>
  </si>
  <si>
    <t>Zuffi et al. (2007; Journal of Zoology 271:218-224).</t>
  </si>
  <si>
    <t>AZ/Sonora</t>
  </si>
  <si>
    <t>Molina (1989; Dissertation University São Paulo); Molina (1990; Tortoises and Turtles 5:8); Molina (1998; Revista de Etiologia 1998:25-40).</t>
  </si>
  <si>
    <t>Diagne (2010; Reptilia 85:16-20)</t>
  </si>
  <si>
    <t>Atatur (1979; Ege Univeristy Faculty of Science Monographs, Izmir, Turkey 18:1-75)</t>
  </si>
  <si>
    <t>Southern Turkey</t>
  </si>
  <si>
    <t xml:space="preserve">Ontario </t>
  </si>
  <si>
    <t>S Brazil</t>
  </si>
  <si>
    <t>Michoacán, Mexico</t>
  </si>
  <si>
    <t>Saudi Arabia</t>
  </si>
  <si>
    <t>Antigua</t>
  </si>
  <si>
    <t>Singapore</t>
  </si>
  <si>
    <t>Guadeloupe</t>
  </si>
  <si>
    <t>Tamaulipas</t>
  </si>
  <si>
    <t>Surinam</t>
  </si>
  <si>
    <t>Culebra</t>
  </si>
  <si>
    <t>Oregon</t>
  </si>
  <si>
    <t>Pignati and Pezzuti (2012. Inheringia, Ser. Zool., Porto Alegre 102(1):48-55).</t>
  </si>
  <si>
    <t>Rottman (1969. DATZ 22:282-284).</t>
  </si>
  <si>
    <t>Bank (1983; ASRA Journal 2(1):2-21).</t>
  </si>
  <si>
    <t>Turner (2004; Herpetofauna 34(1):48-58).</t>
  </si>
  <si>
    <t>Frazer and Richardson (1985; Copeia 1985:1083-1085).</t>
  </si>
  <si>
    <t>Alvarado-Díaz et al. (2003; Journal of Herpetology 37:183-185).</t>
  </si>
  <si>
    <t>Litwin (1981; Herpetological Review 12(3):81).</t>
  </si>
  <si>
    <t>Pilcher and Al-Merghani (2000; Herpetological Review 31:142-147).</t>
  </si>
  <si>
    <t>Parkes (1981; Symposia of the Zoological Society of London 46:253-265).</t>
  </si>
  <si>
    <t>Wood and Wood (1980; American Zoologists 20:499-505).</t>
  </si>
  <si>
    <t>Diong et al. (2001; Herpetological Review 32:184-185).</t>
  </si>
  <si>
    <t>Dobbs et al. (1999; Chelonian Conservation and Biology 3(2):344-361).</t>
  </si>
  <si>
    <t>Kamel and Delcroix (2009; Journal of Herpetology 43:367-376).</t>
  </si>
  <si>
    <t>Marcovaldi et al. (1999; Chelonian Conservation and Biology 3(2):301-307).</t>
  </si>
  <si>
    <t>Richardson et al. (1999; Chelonian Conservation and Biology 3(2):244-250).</t>
  </si>
  <si>
    <t>Pilcher and Ali (1999; Chelonian Conservation and Biology 3(2):330-336).</t>
  </si>
  <si>
    <t>Caillouet et al. (2011; Chelonian Conservation and Biology 10(2):288-293).</t>
  </si>
  <si>
    <t>Schäuble et al. (2006; Chelonian Conservation and Biology 5(2):188-194).</t>
  </si>
  <si>
    <t>Ernst in Iverson (1997; Herpetologica 53:96-117).</t>
  </si>
  <si>
    <t>Gapp et al. (2004; Herpetological Review 35:264).</t>
  </si>
  <si>
    <t>Hotaling (1990; Dissertation Rugters University).</t>
  </si>
  <si>
    <t>Janzen in Iverson (1997; Herpetologica 53:96-117).</t>
  </si>
  <si>
    <t>Pell (1941; Master Thesis, Cornell University).</t>
  </si>
  <si>
    <t>Wilgenbusch in Iverson (1997; Herpetologica 53:96-117).</t>
  </si>
  <si>
    <t>Grimpe (1987; Bulletin of the Oklahoma Herpetological Society 12:1-6).</t>
  </si>
  <si>
    <t>Powders (1978; Copeia 1978:154-156).</t>
  </si>
  <si>
    <t>Girondot and Fretey (1996; Chelonian Conservation and Biology 2(2):204-208).</t>
  </si>
  <si>
    <t>Hall (1988; Proceedings of the Eighth Annual Workshop on Sea Turtle Consrvation and Biology pp. 29-32.).</t>
  </si>
  <si>
    <t>Hilterman and Goverse (2007; Chelonian Conservation and Biology 6:87-100).</t>
  </si>
  <si>
    <t>Reina et al. (2002; Copeia 2002:653-664).</t>
  </si>
  <si>
    <t>Thomé et al. (2007; Chelonian Conservation and Biology 6(1):15-27).</t>
  </si>
  <si>
    <t>Feldman (1982; Herpetological Review 13(1):10-11).</t>
  </si>
  <si>
    <t>Goodman (1997; Chelonian Conservation and Biology 2(3):419-420).</t>
  </si>
  <si>
    <t>Applegate (1974; Bulletin of the Chicago Herpetological Society 9(3-4):42).</t>
  </si>
  <si>
    <t>Ernst (1971; British Journal of Herpetology 4(9):224-227).</t>
  </si>
  <si>
    <t>Gibbons and Tinkle (1969; Ecology 50(340-341).</t>
  </si>
  <si>
    <t>McGuire et al. (2011; Canadian Journal of Zoology 89:1136-1145).</t>
  </si>
  <si>
    <t>Legler (1954; Herpetologica 10:137-144).</t>
  </si>
  <si>
    <t>Belmore (1973; HERP (Bull. N.Y. Herpetol. Soc.) 10(1-2):37-38).</t>
  </si>
  <si>
    <t>Ernst (1970; Herpetologica 26:228-232).</t>
  </si>
  <si>
    <t>Wilson (1989; Herpetological Review 20(3):69-70).</t>
  </si>
  <si>
    <t>Gibbons et al. (1978; British Journal of Herpetology 6:13-14).</t>
  </si>
  <si>
    <t>Refsnider and Schlick (2006; Herpetological Review 37:341-342).</t>
  </si>
  <si>
    <t>Meeske (1997; Acta Zoologica Lituanica 7:138-142); Meeske (2002; Biota 3(1-2):91-101).</t>
  </si>
  <si>
    <t>Najbar and Szuszkiewicz (2005; Acta Zool. Cracoviensia 48A(1-2):11-19).</t>
  </si>
  <si>
    <t>Harding (1977; Herpetological Review 8(2):34).</t>
  </si>
  <si>
    <t>Pallas (1960; Copeia 1960:155-156).</t>
  </si>
  <si>
    <t>Herman (1986; Herpetological Review 17(1):24).</t>
  </si>
  <si>
    <t>Meshaka et al. (2016; Bulletin of the Maryland Herpetological Society 52:21-22).</t>
  </si>
  <si>
    <t>Goff and Goff (1932; Copeia 1932:92-94).</t>
  </si>
  <si>
    <t>Wilson and Ernst (2008; The Herpetological Bulletin 104:22-32).</t>
  </si>
  <si>
    <t>Buchman et al. (2020; Bios 81(3):84-90).</t>
  </si>
  <si>
    <t>Edmonds et al. (2020; Herpetological Conservation and Biology 15:467-475).</t>
  </si>
  <si>
    <t>Múnera et al. (2004;  Revista de Biologia Tropical 52:229-238).</t>
  </si>
  <si>
    <t>Gibbons (1970; Canadian Journal of Zoology 48:881-885).</t>
  </si>
  <si>
    <t>Richard (1991; Bullutin of the Maryland Herpetological Soceity 27:107-109)</t>
  </si>
  <si>
    <t>Platt et al. (2003; Chelonian Conservation and Biology 4(3):691-695).</t>
  </si>
  <si>
    <t>Keller (1998; Wildlife Research 25:527-531).</t>
  </si>
  <si>
    <t>Ewert (2005; Herpetological Review 36:314).</t>
  </si>
  <si>
    <t>Vogt et al. (1994; Chelonian Conservation and Biology 1(2):145-148).</t>
  </si>
  <si>
    <t>Soares (1996; Acta. Biol. Leopoldensia 18(2):93-101).</t>
  </si>
  <si>
    <t>Pezzuti and Vogt (1999; Chelonian Conservation and Biology 3(3):419-424).</t>
  </si>
  <si>
    <t>Vanzolini (1999; Revista Brasilera de Biologia 59(4):593-608).</t>
  </si>
  <si>
    <t>Schramm et al. (2000; Chelonian Conservation and Biology 3(4):706-713)</t>
  </si>
  <si>
    <t>Fowler de Neira and Roe (1984; Copeia 1984:702-707).</t>
  </si>
  <si>
    <t>Ennen et al. (2012; Copeia 2012:222-228).</t>
  </si>
  <si>
    <t>Stuart (1954; Copeia 1954:61-62).</t>
  </si>
  <si>
    <t>Adest and Agirre León (1995; Publicaciones de la Sociedad Herpetologica Mexicana 2:1-5).</t>
  </si>
  <si>
    <t>Whitaker (2012; pp. 47-64, in Wahl, C., Morphometrics. Intech, Rijeka, Croatia).</t>
  </si>
  <si>
    <t>Lapid and Robinzon (1995; Proceedings - International Congress of Chelonian Conservation,  pp. 198-199).</t>
  </si>
  <si>
    <t>Goff and Goff (1935; Copeia 1935:156).</t>
  </si>
  <si>
    <t>Hamilton (1947; Copeia 1947:209).</t>
  </si>
  <si>
    <t>Jackson (1991; Herpetological Review 22(2):56).</t>
  </si>
  <si>
    <t>Schulz (1975; Zoologische Verhandelingen 143:1-141).</t>
  </si>
  <si>
    <t>Kinosternon cora</t>
  </si>
  <si>
    <t>Berwick York County, Maine</t>
  </si>
  <si>
    <r>
      <t xml:space="preserve">Kuchling (2006; Breeding of the long-necked turtle </t>
    </r>
    <r>
      <rPr>
        <i/>
        <sz val="10"/>
        <rFont val="Times New Roman"/>
        <family val="1"/>
      </rPr>
      <t xml:space="preserve">Chelodina oblonga </t>
    </r>
    <r>
      <rPr>
        <sz val="10"/>
        <rFont val="Times New Roman"/>
        <family val="1"/>
      </rPr>
      <t xml:space="preserve"> in western Australia) in Artner et al. (2006; Turtles Prceedings: International Turtle and Tortoise Symposium).</t>
    </r>
  </si>
  <si>
    <t>Goode and Russell (1968; Australian Journal of Zoology 16: 749-761); Banks (1983. ASRA Journal 2(3):2-21).</t>
  </si>
  <si>
    <r>
      <t xml:space="preserve">Römpp (2006; Keeping and breeding </t>
    </r>
    <r>
      <rPr>
        <i/>
        <sz val="10"/>
        <rFont val="Times New Roman"/>
        <family val="1"/>
      </rPr>
      <t xml:space="preserve">Chelodina longicollis </t>
    </r>
    <r>
      <rPr>
        <sz val="10"/>
        <rFont val="Times New Roman"/>
        <family val="1"/>
      </rPr>
      <t>and Chelodina oblonga) in Artner et al. (2006; Turtles Proceedings: International Turtle and Tortoise Symposium).</t>
    </r>
  </si>
  <si>
    <t>Georges (1982; Dissertation University of Queensland); Georges (1983; Journal of Zoology 201:331-350).</t>
  </si>
  <si>
    <t>Marquez et al. (1976; Secretaría de Industria y Comercio).</t>
  </si>
  <si>
    <t>Mosimann (2000; Manouria 3(6):17-25); Mosimann (2006; in Artner 2006 Turtles pp. 250-256).</t>
  </si>
  <si>
    <t>Iverson (unpub. data)</t>
  </si>
  <si>
    <t>Congdon and van Loben Sels (1991; Canadian Jouranl of Zoology 69:239-245); Congdon and van Loben Sels (1993; Journal of Evolutionary Biology 6:547-557);Congdon et al. (1983; Herpetologica 39: 417-429).</t>
  </si>
  <si>
    <t>&gt;&gt;1</t>
  </si>
  <si>
    <t>Mao (1971; Turtles of Taiwan)</t>
  </si>
  <si>
    <t>Medem (1983; In Rhodin and Miyata (eds.), Advances in Herpetology and Evolutionary Biology, p 429-434).</t>
  </si>
  <si>
    <t>Genera</t>
  </si>
  <si>
    <t>Elusor</t>
  </si>
  <si>
    <t>dharuk</t>
  </si>
  <si>
    <t>krefftii</t>
  </si>
  <si>
    <t>Hydromedusa</t>
  </si>
  <si>
    <t>bellii</t>
  </si>
  <si>
    <t>williamsi</t>
  </si>
  <si>
    <t>Pseudemydura</t>
  </si>
  <si>
    <t>Rheodytes</t>
  </si>
  <si>
    <t>Caretta</t>
  </si>
  <si>
    <t>Eretmochelys</t>
  </si>
  <si>
    <t>Lepidochelys</t>
  </si>
  <si>
    <t>Natator</t>
  </si>
  <si>
    <t>Actinemys</t>
  </si>
  <si>
    <t>Emys</t>
  </si>
  <si>
    <t>macrospilota</t>
  </si>
  <si>
    <t>bauri</t>
  </si>
  <si>
    <t>major</t>
  </si>
  <si>
    <t>triunguis</t>
  </si>
  <si>
    <t>callirostris</t>
  </si>
  <si>
    <t>chichiriviche</t>
  </si>
  <si>
    <t>decussata</t>
  </si>
  <si>
    <t>angusta</t>
  </si>
  <si>
    <t>emolli</t>
  </si>
  <si>
    <t>scripta</t>
  </si>
  <si>
    <t>vicina</t>
  </si>
  <si>
    <t>kamaroma</t>
  </si>
  <si>
    <t>Geoclemys</t>
  </si>
  <si>
    <t>Geoemyda</t>
  </si>
  <si>
    <t>Hardella</t>
  </si>
  <si>
    <t>Leucocephalon</t>
  </si>
  <si>
    <t>Malayemys</t>
  </si>
  <si>
    <t>kami</t>
  </si>
  <si>
    <t>coronata</t>
  </si>
  <si>
    <t>thermalis</t>
  </si>
  <si>
    <t>Morenia</t>
  </si>
  <si>
    <t>Notochelys</t>
  </si>
  <si>
    <t>incisa</t>
  </si>
  <si>
    <t>manni</t>
  </si>
  <si>
    <t>rogerbarbouri</t>
  </si>
  <si>
    <t>flammigera</t>
  </si>
  <si>
    <t>perixantha</t>
  </si>
  <si>
    <t>Sacalia</t>
  </si>
  <si>
    <t>Vijayachelys</t>
  </si>
  <si>
    <t>Claudius</t>
  </si>
  <si>
    <t>postinguinale</t>
  </si>
  <si>
    <t>albogulare</t>
  </si>
  <si>
    <t>castanoides</t>
  </si>
  <si>
    <t>Platysternon</t>
  </si>
  <si>
    <t>Erymnochelys</t>
  </si>
  <si>
    <t>Aldabrachelys</t>
  </si>
  <si>
    <t>Astrochelys</t>
  </si>
  <si>
    <t>Chersina</t>
  </si>
  <si>
    <t>Indotestudo</t>
  </si>
  <si>
    <t>Kinixys</t>
  </si>
  <si>
    <t>Malachochersus</t>
  </si>
  <si>
    <t>Manouria</t>
  </si>
  <si>
    <t>arachnoides</t>
  </si>
  <si>
    <t>brygooi</t>
  </si>
  <si>
    <t>babcocki</t>
  </si>
  <si>
    <t>ibera</t>
  </si>
  <si>
    <t>terrestris</t>
  </si>
  <si>
    <t>boettgeri</t>
  </si>
  <si>
    <t>Amyda</t>
  </si>
  <si>
    <t>Chitra</t>
  </si>
  <si>
    <t>Cyclanorbis</t>
  </si>
  <si>
    <t>Cycloderma</t>
  </si>
  <si>
    <t>Dogania</t>
  </si>
  <si>
    <t>Palea</t>
  </si>
  <si>
    <t>Pelochelys</t>
  </si>
  <si>
    <t>Rafetus</t>
  </si>
  <si>
    <t>Trionyx</t>
  </si>
  <si>
    <t>Cing Cases</t>
  </si>
  <si>
    <t>Durango</t>
  </si>
  <si>
    <t>Iverson et al. (2018; Herpetological Review 49:109)</t>
  </si>
  <si>
    <t>David Auth (unpublished data).</t>
  </si>
  <si>
    <t>Schmidt et al. (1919; Bulletin of the American Museum of Natural History 39:385-624).</t>
  </si>
  <si>
    <t>Mosquiera Manso (1990; Las Tortugas del Orinoco, 148 pp).</t>
  </si>
  <si>
    <t>Grossman (1986; Sauria 8(2):3-6).</t>
  </si>
  <si>
    <t>Platt et al. (2003; Chelonian Conservation and Biology 4:678-682)</t>
  </si>
  <si>
    <t>Chinen et al. (2004; Arquivos Instituto Biológico 71 (suppl): 401-404).</t>
  </si>
  <si>
    <t>Fabius (2016; Batagur 6:1-11).</t>
  </si>
  <si>
    <t>Lawson (2004; Turtle Survival Alliance 4(1):10); Lawson (2005; Turtle Survival Alliance 5(1):11)</t>
  </si>
  <si>
    <t>Cunha and Vogt (2020; Herpetological Review 51:528-529).</t>
  </si>
  <si>
    <t>India (captive)</t>
  </si>
  <si>
    <t>Barhadiya et al. (2020; Herpetological Review 51:578).</t>
  </si>
  <si>
    <t>Jones (2006; Chelonian Conservation and Biology 5:195-206) in Ennen et al. (2016; Chelonian Research Monograph 5:094.1-8)</t>
  </si>
  <si>
    <t>Pritchard (2012, Rafetus: The Curve of Extinction).</t>
  </si>
  <si>
    <t>Cape Town</t>
  </si>
  <si>
    <t>Branch (2008, Tortoises, Terrapins and Turtles of Africa).</t>
  </si>
  <si>
    <t>Africa</t>
  </si>
  <si>
    <t>Broadley (1993, Annals of the Transvaal Museum 36(6):41-52).</t>
  </si>
  <si>
    <t>Bonin et al. (2006, Turtles of the World).</t>
  </si>
  <si>
    <t>Lake Albert, Africa</t>
  </si>
  <si>
    <t>Spawls et al. (2001, Field Guide to the Reptiles of East Africa).</t>
  </si>
  <si>
    <t>Ramirez (1956, Agicultor Venezolano 90:44-63).</t>
  </si>
  <si>
    <t>Washington</t>
  </si>
  <si>
    <t>Holland (1991, Unpublished Report to Washington Department of Wildlife).</t>
  </si>
  <si>
    <t>de Bruin (2006; in Arnter et al. 2006. Turtles).</t>
  </si>
  <si>
    <t>Hennig (2020; Incubating Chelonian Eggs.).</t>
  </si>
  <si>
    <t>Rudloff (1986; Herpetofauna 8:14-20).</t>
  </si>
  <si>
    <t>Ziegler (2002; Herpetofauna of Vietnam).</t>
  </si>
  <si>
    <t>Visser and Zwartepoorte (2005; Radiata 14(3):3-12).</t>
  </si>
  <si>
    <t>Coutard  (2006; Manouria 9(32):11-20).</t>
  </si>
  <si>
    <t>Büttner (2013; Radiata 22(1):54-67).</t>
  </si>
  <si>
    <t>Coutard (2007; Manouria 10(37):13-18).</t>
  </si>
  <si>
    <t>Coutard (2005; Manouria 8(27):16-25).</t>
  </si>
  <si>
    <t>Chelus orinocensis</t>
  </si>
  <si>
    <t xml:space="preserve">Orinoco </t>
  </si>
  <si>
    <t>Terrapene triunguis</t>
  </si>
  <si>
    <t>Chelonoidis denticulatus</t>
  </si>
  <si>
    <t>Ghana</t>
  </si>
  <si>
    <t>Métrailler (2008; Manouria 11(41):22-27).</t>
  </si>
  <si>
    <t>Métrailler (2005; Manouria 8(29):7-11).</t>
  </si>
  <si>
    <t>Büttner (2018; Marginata 58(2):48-57).</t>
  </si>
  <si>
    <t>Staljanssens and Nijs (2012; Radiata 21(1):31-42).</t>
  </si>
  <si>
    <t>Métrailler (2003; Manouria 6(20):35-39).</t>
  </si>
  <si>
    <t>Gaibazzi (2005; Manouria 8(27):27-32).</t>
  </si>
  <si>
    <t>Krause and Büttner (2012; Radiata 21(3):4-14).</t>
  </si>
  <si>
    <t>Coutard (2006; Manouria 9(30):10-20).</t>
  </si>
  <si>
    <t>Le Gratiet and Maran (2009; Radiata 18(1):2-14).</t>
  </si>
  <si>
    <t>Naths (2010; Marginata 7(1):52-56).</t>
  </si>
  <si>
    <t>Pawlowski (2018; Marginata 60(4):46-55).</t>
  </si>
  <si>
    <t>Hill and Lee (2011; The Batagur 1:9-14).</t>
  </si>
  <si>
    <t>Pawlowski (2015; Radiata 24(2):24-36).</t>
  </si>
  <si>
    <t>Sachsse (1975; Salamandra 11(1):7-19).</t>
  </si>
  <si>
    <t>Hofmann (2007; Sauria 29(3):35-44).</t>
  </si>
  <si>
    <t>Nickl (2019; The Batagur 9:11-17).</t>
  </si>
  <si>
    <t>Pauler (1981; Herpetofauna 3(13):6-8).</t>
  </si>
  <si>
    <t>Grychta (1996; Sauria 18(3):13-15).</t>
  </si>
  <si>
    <t>Grychta (1999; Sauria 21(4):19-23).</t>
  </si>
  <si>
    <t>Giebner and Helm (1997; Sauria 19(2):23-28).</t>
  </si>
  <si>
    <t>Praschag (2013; Marginata 40(4):36-45).</t>
  </si>
  <si>
    <t>Marschall and Marschall (1993; Sauria 15(2):9-13).</t>
  </si>
  <si>
    <t>Sachsse (1980; Salamandra 16(4):252-260).</t>
  </si>
  <si>
    <t>Reissig and Malan (2020; Radiata 29(4):23-26).</t>
  </si>
  <si>
    <t>Branser (2011; Radiata 20(3):2-32).</t>
  </si>
  <si>
    <t>Ahr (2006; Marginata 3(2):40-46).</t>
  </si>
  <si>
    <t>Prokop and Hojay (2008; Reptilia 12(6):34-43).</t>
  </si>
  <si>
    <t>Hennig (2018; Marginata 16(2):59-61).</t>
  </si>
  <si>
    <t>Bollack (2013; Marginata 10(2):36-40).</t>
  </si>
  <si>
    <t>Janzen and Warner (2009; Journal of Evolutionary Biology 22:2222-2238).</t>
  </si>
  <si>
    <t>Rao (1986; Journal of Herpetology 20:455-457); Das (1991; Colour Guide to the Turtles and Tortoises of the Indiana Subcontinent).</t>
  </si>
  <si>
    <t>up to 4-5</t>
  </si>
  <si>
    <t>Red River, Louisiana</t>
  </si>
  <si>
    <t>Medem (1960; Novedades Colombianas 1:284-290). See Souza et al. (2006; Boletín de la Asociación Herpetológica Española 17:28-34).</t>
  </si>
  <si>
    <t>Sicily</t>
  </si>
  <si>
    <t>Ottonello (2017. Dissertation Univ. Ca'Foscari Venezia).</t>
  </si>
  <si>
    <t>Duncan Island, Galapagos</t>
  </si>
  <si>
    <t>Volcan Alcedo, Galapagos</t>
  </si>
  <si>
    <t>Santa Cruz, Galapagos</t>
  </si>
  <si>
    <t>Cerro Azul, Galapagos</t>
  </si>
  <si>
    <t>Hood Island, Galapagos</t>
  </si>
  <si>
    <t>Santiago Island, Galapagos</t>
  </si>
  <si>
    <t>Nickl (2015; Sacalia 47(13):6-20).</t>
  </si>
  <si>
    <t>Morshed (2013; Sacalia 38(11):7-27).</t>
  </si>
  <si>
    <t>Fife (2016; Sacalia 14(2):11-24).</t>
  </si>
  <si>
    <t>Budischek (2006; Sacalia 10(4):5-26).</t>
  </si>
  <si>
    <t>Schobert (2007; Sacalia 17(5):9-19).</t>
  </si>
  <si>
    <t>Cañas-Uribe et al. (2020; Bol. Invest. Marinas y Costeras 49 (Supl. Esp.):13-20).</t>
  </si>
  <si>
    <t>Dash and Kar (1990; The Turtle Paradise: Gahirmatha).</t>
  </si>
  <si>
    <t>Schilde (2003, Draco 4(13):37-41) in Schilde (2004; Asiatische Sumpfschildkröten - Die Familie Geoemydidae in Südostasien, China und Japan).</t>
  </si>
  <si>
    <t>Kotenko (2000) in Fritz (2001; Handbuch der Reptilien und Amphibien Europas 3/III Schildkröten, pp. 343-515).</t>
  </si>
  <si>
    <t>Loc-Barragán et al. (2020; Zootaxa 4885(4):509-529).</t>
  </si>
  <si>
    <t>MacFarland et al. (1974a; Biol. Conserv. 6:118-133).</t>
  </si>
  <si>
    <t>MacFarland et al. (1974a; Biol. Conserv. 6:118-133; 1974b; Biol. Conserv. 6:198-212).</t>
  </si>
  <si>
    <t>MacFarland et al. (1974b; Biol. Conserv. 6:198-212).</t>
  </si>
  <si>
    <t>Márquez et al. (1991; Noticias de Galapagos 50:17-18).</t>
  </si>
  <si>
    <t>Fowler (1983; Thesis Univ. Florida)</t>
  </si>
  <si>
    <t>Sung et al. (2015; Journal of Herpetology 49:99-103).</t>
  </si>
  <si>
    <t>Lindeman (2020; Chelonian Conservation and Biology 19:246-255).</t>
  </si>
  <si>
    <t>Enriquez (1984, in Kubisch and Ibarguengoytia 2020 [Gibbs et al. 2020; Galapagos Giant Tortoises]).</t>
  </si>
  <si>
    <t>Tapia (1997, in Kubisch and Ibarguengoytia 2020 [Gibbs et al. 2020; Galapagos Giant Tortoises]).</t>
  </si>
  <si>
    <t>Schwartz et al. (1982; Bulletin of the ASB 28(2):96).</t>
  </si>
  <si>
    <t>McCann (1934; Journal of the Bombay Natural History Society 39:423).</t>
  </si>
  <si>
    <t>Degenhardt et al. (1996; Reptiles and Amphibians of New Mexico); Legler and Vogt (2013; The Turtles of Mexico).</t>
  </si>
  <si>
    <t>Hill (2018; Batagur 8:13-16).</t>
  </si>
  <si>
    <t>Zhou (2011; Atlas of Liyi's Gold Turtle Farming).</t>
  </si>
  <si>
    <t>Artner (2012; The Batagur 2:4-11).</t>
  </si>
  <si>
    <t xml:space="preserve">Vázquez Gómez et al. (2015; Acta Herpetologica 10:121-124). </t>
  </si>
  <si>
    <t>Das (1991; Colour Guide to the Turtles and Tortoises of the Indian Subcontinent); Theobald (1876; Descriptive Catalogue of the Reptiles of British India).</t>
  </si>
  <si>
    <t>Acuña-Mesen (1998; Las Tortugas Continentales de Costa Rica).</t>
  </si>
  <si>
    <t>Sy (2014; Herpetological Review 45:454-455).</t>
  </si>
  <si>
    <t>two sites within Florida</t>
  </si>
  <si>
    <t>Joyner-Griffith (1991; Thesis California State University) in Averill-Murray et al. (2014; pp. 110-117). In Rostal et al. (2014; Biology and Conservation of North American Tortoises).</t>
  </si>
  <si>
    <t>Subspecies</t>
  </si>
  <si>
    <t>radiolata</t>
  </si>
  <si>
    <t>burrungandjii</t>
  </si>
  <si>
    <t>canni</t>
  </si>
  <si>
    <t>gunaleni</t>
  </si>
  <si>
    <t>kuchlingi</t>
  </si>
  <si>
    <t>novaeguineae</t>
  </si>
  <si>
    <t>oblonga</t>
  </si>
  <si>
    <t>parkeri</t>
  </si>
  <si>
    <t>pritchardi</t>
  </si>
  <si>
    <t>reimanni</t>
  </si>
  <si>
    <t>rugosa</t>
  </si>
  <si>
    <t>steindachneri</t>
  </si>
  <si>
    <t>walloyarrina</t>
  </si>
  <si>
    <t>orinocensis</t>
  </si>
  <si>
    <t>albagula</t>
  </si>
  <si>
    <t>branderhorsti</t>
  </si>
  <si>
    <t>flaviventralis</t>
  </si>
  <si>
    <t>irwini</t>
  </si>
  <si>
    <t>lavarackorum</t>
  </si>
  <si>
    <t>rhodini</t>
  </si>
  <si>
    <t>schultzei</t>
  </si>
  <si>
    <t>macrurus</t>
  </si>
  <si>
    <t>macquarii</t>
  </si>
  <si>
    <t>tanybaraga</t>
  </si>
  <si>
    <t>victoriae</t>
  </si>
  <si>
    <t>maximiliani</t>
  </si>
  <si>
    <t>tectifera</t>
  </si>
  <si>
    <t>dahli</t>
  </si>
  <si>
    <t>hogei</t>
  </si>
  <si>
    <t>perplexa</t>
  </si>
  <si>
    <t>raniceps</t>
  </si>
  <si>
    <t>tuberculata</t>
  </si>
  <si>
    <t>vanderhaegei</t>
  </si>
  <si>
    <t>zuliae</t>
  </si>
  <si>
    <t>georgesi</t>
  </si>
  <si>
    <t>purvisi</t>
  </si>
  <si>
    <t>hilarii</t>
  </si>
  <si>
    <t>tuberosus</t>
  </si>
  <si>
    <t>umbrina</t>
  </si>
  <si>
    <t>leukops</t>
  </si>
  <si>
    <t>caretta</t>
  </si>
  <si>
    <t>imbricata</t>
  </si>
  <si>
    <t>olivacea</t>
  </si>
  <si>
    <t>depressa</t>
  </si>
  <si>
    <t>acutirostris</t>
  </si>
  <si>
    <t>suwanniensis</t>
  </si>
  <si>
    <t>marmorata</t>
  </si>
  <si>
    <t>pallida</t>
  </si>
  <si>
    <t>orbicularis</t>
  </si>
  <si>
    <t>trinacris</t>
  </si>
  <si>
    <t>caglei</t>
  </si>
  <si>
    <t>ernsti</t>
  </si>
  <si>
    <t>gibbonsi</t>
  </si>
  <si>
    <t>oculifera</t>
  </si>
  <si>
    <t>pearlensis</t>
  </si>
  <si>
    <t>sabinensis</t>
  </si>
  <si>
    <t>alabamensis</t>
  </si>
  <si>
    <t>floridana</t>
  </si>
  <si>
    <t>gorzugi</t>
  </si>
  <si>
    <t>rubriventris</t>
  </si>
  <si>
    <t>texana</t>
  </si>
  <si>
    <t>coahuila</t>
  </si>
  <si>
    <t>mexicana</t>
  </si>
  <si>
    <t>adiutrix</t>
  </si>
  <si>
    <t>dorbigni</t>
  </si>
  <si>
    <t>gaigeae</t>
  </si>
  <si>
    <t>grayi</t>
  </si>
  <si>
    <t>nebulosa</t>
  </si>
  <si>
    <t>stejnegeri</t>
  </si>
  <si>
    <t>taylori</t>
  </si>
  <si>
    <t>terrapen</t>
  </si>
  <si>
    <t>yaquia</t>
  </si>
  <si>
    <t>affinis</t>
  </si>
  <si>
    <t>trivittata</t>
  </si>
  <si>
    <t>aurocapitata</t>
  </si>
  <si>
    <t>cyclornata</t>
  </si>
  <si>
    <t>mouhotii</t>
  </si>
  <si>
    <t>picturata</t>
  </si>
  <si>
    <t>yunnanensis</t>
  </si>
  <si>
    <t>zhoui</t>
  </si>
  <si>
    <t>atripons</t>
  </si>
  <si>
    <t>enigmatica</t>
  </si>
  <si>
    <t>fusca</t>
  </si>
  <si>
    <t>gemeli</t>
  </si>
  <si>
    <t>pulchristriata</t>
  </si>
  <si>
    <t>hamiltonii</t>
  </si>
  <si>
    <t>spengleri</t>
  </si>
  <si>
    <t>thurjii</t>
  </si>
  <si>
    <t>annandalii</t>
  </si>
  <si>
    <t>spinosa</t>
  </si>
  <si>
    <t>yuwonoi</t>
  </si>
  <si>
    <t>khoratensis</t>
  </si>
  <si>
    <t>subtrijuga</t>
  </si>
  <si>
    <t>annamensis</t>
  </si>
  <si>
    <t>caspica</t>
  </si>
  <si>
    <t>nigricans</t>
  </si>
  <si>
    <t>tricarinata</t>
  </si>
  <si>
    <t>ocellata</t>
  </si>
  <si>
    <t>petersi</t>
  </si>
  <si>
    <t>platynota</t>
  </si>
  <si>
    <t>smithii</t>
  </si>
  <si>
    <t>sylhetensis</t>
  </si>
  <si>
    <t>diademata</t>
  </si>
  <si>
    <t>funerea</t>
  </si>
  <si>
    <t>rubida</t>
  </si>
  <si>
    <t>bealei</t>
  </si>
  <si>
    <t>quadriocellata</t>
  </si>
  <si>
    <t>leytensis</t>
  </si>
  <si>
    <t>silvatica</t>
  </si>
  <si>
    <t>angustatus</t>
  </si>
  <si>
    <t>abaxillare</t>
  </si>
  <si>
    <t>acutum</t>
  </si>
  <si>
    <t>alamosae</t>
  </si>
  <si>
    <t>angustipons</t>
  </si>
  <si>
    <t>chimalhuaca</t>
  </si>
  <si>
    <t>cora</t>
  </si>
  <si>
    <t>dunni</t>
  </si>
  <si>
    <t>durangoense</t>
  </si>
  <si>
    <t>oaxacae</t>
  </si>
  <si>
    <t>vogti</t>
  </si>
  <si>
    <t>depressus</t>
  </si>
  <si>
    <t>barbata</t>
  </si>
  <si>
    <t>galeata</t>
  </si>
  <si>
    <t>gehafie</t>
  </si>
  <si>
    <t>kobe</t>
  </si>
  <si>
    <t>neumanni</t>
  </si>
  <si>
    <t>schweinfurthi</t>
  </si>
  <si>
    <t>somalica</t>
  </si>
  <si>
    <t>variabilis</t>
  </si>
  <si>
    <t>adansonii</t>
  </si>
  <si>
    <t>bechuanicus</t>
  </si>
  <si>
    <t>broadleyi</t>
  </si>
  <si>
    <t>castaneus</t>
  </si>
  <si>
    <t>chapini</t>
  </si>
  <si>
    <t>cupulatta</t>
  </si>
  <si>
    <t>gabonensis</t>
  </si>
  <si>
    <t>marani</t>
  </si>
  <si>
    <t>nanus</t>
  </si>
  <si>
    <t>niger</t>
  </si>
  <si>
    <t>rhodesianus</t>
  </si>
  <si>
    <t>upembae</t>
  </si>
  <si>
    <t>megacephalum</t>
  </si>
  <si>
    <t>madagascariensis</t>
  </si>
  <si>
    <t>erythrocephala</t>
  </si>
  <si>
    <t>lewyana</t>
  </si>
  <si>
    <t>unifilis</t>
  </si>
  <si>
    <t>gigantea</t>
  </si>
  <si>
    <t>radiata</t>
  </si>
  <si>
    <t>yniphora</t>
  </si>
  <si>
    <t>chilensis</t>
  </si>
  <si>
    <t>angulata</t>
  </si>
  <si>
    <t>boulengeri</t>
  </si>
  <si>
    <t>berlandieri</t>
  </si>
  <si>
    <t>evgoodei</t>
  </si>
  <si>
    <t>flavomarginatus</t>
  </si>
  <si>
    <t>morafkai</t>
  </si>
  <si>
    <t>areolatus</t>
  </si>
  <si>
    <t>elongata</t>
  </si>
  <si>
    <t>forstenii</t>
  </si>
  <si>
    <t>belliana</t>
  </si>
  <si>
    <t>erosa</t>
  </si>
  <si>
    <t>homeana</t>
  </si>
  <si>
    <t>lobatsiana</t>
  </si>
  <si>
    <t>natalensis</t>
  </si>
  <si>
    <t>nogueyi</t>
  </si>
  <si>
    <t>spekii</t>
  </si>
  <si>
    <t>zombensis</t>
  </si>
  <si>
    <t>emys</t>
  </si>
  <si>
    <t>impressa</t>
  </si>
  <si>
    <t>oculifer</t>
  </si>
  <si>
    <t>tentorius</t>
  </si>
  <si>
    <t>graeca</t>
  </si>
  <si>
    <t>horsfieldii</t>
  </si>
  <si>
    <t>kleinmanni</t>
  </si>
  <si>
    <t>marginata</t>
  </si>
  <si>
    <t>cartilaginea</t>
  </si>
  <si>
    <t>indica</t>
  </si>
  <si>
    <t>senegalensis</t>
  </si>
  <si>
    <t>aubryi</t>
  </si>
  <si>
    <t>frenatum</t>
  </si>
  <si>
    <t>subplana</t>
  </si>
  <si>
    <t>ceylonensis</t>
  </si>
  <si>
    <t>scutata</t>
  </si>
  <si>
    <t>formosa</t>
  </si>
  <si>
    <t>gangetica</t>
  </si>
  <si>
    <t>hurum</t>
  </si>
  <si>
    <t>leithii</t>
  </si>
  <si>
    <t>bibroni</t>
  </si>
  <si>
    <t>cantorii</t>
  </si>
  <si>
    <t>signifera</t>
  </si>
  <si>
    <t>axenaria</t>
  </si>
  <si>
    <t>parviformis</t>
  </si>
  <si>
    <t>euphraticus</t>
  </si>
  <si>
    <t>swinhoei</t>
  </si>
  <si>
    <t>Trachemys stejnegeri</t>
  </si>
  <si>
    <t>Pelomedusa c.f.</t>
  </si>
  <si>
    <r>
      <t xml:space="preserve">Métrailler (2005; Emys 12(3):20-24); Métrailler (2006; Keeping and breeding of </t>
    </r>
    <r>
      <rPr>
        <i/>
        <sz val="10"/>
        <rFont val="Times New Roman"/>
        <family val="1"/>
      </rPr>
      <t xml:space="preserve">Mesoclemmys gibba </t>
    </r>
    <r>
      <rPr>
        <sz val="10"/>
        <rFont val="Times New Roman"/>
        <family val="1"/>
      </rPr>
      <t>[Schweiffer, 1812]) in Artner et al. (2006; Turtles Proceedings: International Turtle and Tortosie Symposium).</t>
    </r>
  </si>
  <si>
    <t>intermedius</t>
  </si>
  <si>
    <t>Eendebak (2002; Chelonii 3:257-267).</t>
  </si>
  <si>
    <t>Benefield (1979; International Zoo Yearbook 19:55-58).</t>
  </si>
  <si>
    <t>Becker (2015; Das Magazin 6:24-29); Becker (2019; Radiata 28(1):21-36).</t>
  </si>
  <si>
    <t>Benefield (1979; Bulletin of the Oklahoma Herpetological Society 4:40-41).</t>
  </si>
  <si>
    <t>Coto-Rojas (pers. comms to JBI).</t>
  </si>
  <si>
    <t>ClutchFreq</t>
  </si>
  <si>
    <t>Thompson (1987; Physiological Zoology 60(1):1-8)</t>
  </si>
  <si>
    <t>Lake Bonney, SE Australia</t>
  </si>
  <si>
    <t>Schilde (2003; Draco 4(1):35-39).</t>
  </si>
  <si>
    <t>Prokop, in Prokop and Petras (2008. Sacalia 20(6):5-22).</t>
  </si>
  <si>
    <t>Felsner (2005; Sacalia 9(3):13-28).</t>
  </si>
  <si>
    <t>Böhm (2009; Sacalia 23(7):9-29).</t>
  </si>
  <si>
    <t>Böhm (2017; Sacalia 15(3):6-17).</t>
  </si>
  <si>
    <t>Nad and Schaffer (2009; Sacalia 25(7):17-26).</t>
  </si>
  <si>
    <t>Captive_Wild</t>
  </si>
  <si>
    <t>Brazil sao Paulo</t>
  </si>
  <si>
    <t>Romania</t>
  </si>
  <si>
    <t>Gujarat State, India (semicaptive)</t>
  </si>
  <si>
    <t>Nutaphand (1979; The Turtles of Thailand); Schilde (2004; Asiatische Sumpfschildkröten - Die Familie Geoemydidae in Südostasien, China und Japan).</t>
  </si>
  <si>
    <t>Moll (1980; Malaysian Journal of Science 6:23-62); Moll and Moll (1990; In: Gibbons. Life History and Ecology of the Slider Turtle pp. 152-161).</t>
  </si>
  <si>
    <t>Archer (1950a; African Wildlife 4(1):28-30); Archer (1950b; African Wildlife 4(1):31-33).</t>
  </si>
  <si>
    <t>60</t>
  </si>
  <si>
    <t>Hausmann (1968; International Turtle and Tortoise Society Journal 2(4):18-19, 36).</t>
  </si>
  <si>
    <t>Kuchling and Lwin (2004; Marginata 1(3):44-50).</t>
  </si>
  <si>
    <t>McKeown and Webb (1982; Journal of Herpetology 16:107-111).</t>
  </si>
  <si>
    <t>Rudolph and Weser (1998; Sauria 20(1):3-14).</t>
  </si>
  <si>
    <t>Vietnam Farm</t>
  </si>
  <si>
    <t>Le Duc et al. (2019; Russian Journal of Herpetology 27(2):97-108).</t>
  </si>
  <si>
    <t>Cylindraspis</t>
  </si>
  <si>
    <t>Cylindraspis vosmaeri</t>
  </si>
  <si>
    <t>Rodrigues Island</t>
  </si>
  <si>
    <t>Hume et al. (2021; Herpetology Notes 14:103-116).</t>
  </si>
  <si>
    <t>Schilde and Lehr (2002; Radiata 11:31-34); Schilde (2003; Draco 35:35-39).</t>
  </si>
  <si>
    <t>Schilde, in Schilde (2004; Asiatische Sumpfschildkröten - Die Familie Geoemydidae in Südostasien, China und Japan); Schilde (2003; Draco 35:35-39).</t>
  </si>
  <si>
    <t>peguense</t>
  </si>
  <si>
    <t>Till (2018; Sacalia 16(3):22-26).</t>
  </si>
  <si>
    <t>W</t>
  </si>
  <si>
    <t>Palmer-Allen et al. (1991; Wildlife Research 18:225-231).</t>
  </si>
  <si>
    <t>Ferreira-Júnior et al. (2011; Zoologia 28(5):571-576).</t>
  </si>
  <si>
    <t>Costa Rico</t>
  </si>
  <si>
    <t>D. Moll (pers. comm. IN: Iverson et al. 1997; Herpetologica 53:96-117).</t>
  </si>
  <si>
    <t>Thomas and Moll (pers. comm. IN: Iverson et al. 1997; Herpetologica 53:96-117).</t>
  </si>
  <si>
    <t>E. Moll (pers. comm. IN: Iverson et al. 1997; Herpetologica 53:96-117).</t>
  </si>
  <si>
    <t>Jackson (pers. comm. IN: Iverson et al. 1997; Herpetologica 53:96-117).</t>
  </si>
  <si>
    <t>Punzo (pers. comm. IN: Iverson et al. 1997; Herpetologica 53:96-117); Punzo (1975.J. Herpetol. 9:207-210).</t>
  </si>
  <si>
    <t>Greaves and Litzgus (2009; Journal of Zoology 279:298-309).</t>
  </si>
  <si>
    <t>Farrell and Graham (1991; Journal of Herpetology 25:1-9).</t>
  </si>
  <si>
    <t>Tuttle and Carroll (1997; Chelonian Conservation and Biology 2(3):447-449).</t>
  </si>
  <si>
    <t xml:space="preserve">New York </t>
  </si>
  <si>
    <t>Hunsinger (2001; Final report. Hudson River Foundation. 25 pp).</t>
  </si>
  <si>
    <t>Tamil Nadu, India</t>
  </si>
  <si>
    <t>Premkishore and Chandran (1996; Annales des Sciences Naturelles, Zool. 13 Ser., 17(3):99-104).</t>
  </si>
  <si>
    <t>Collins et al. (1997. Stock Assessment …. Reelfoot Lake. 156 pp.).</t>
  </si>
  <si>
    <t>Palo Verde</t>
  </si>
  <si>
    <t>Schonath (1982; Schildkröte 82(3/4):25-26).</t>
  </si>
  <si>
    <t>Tonle Sap, Cambodia</t>
  </si>
  <si>
    <t>Alabama, USA</t>
  </si>
  <si>
    <t>Guntoro (2012; Asian Journal of Conservation Biology 1(2):74-77); Guntoro (2012; Radiata 21(1):60-67).</t>
  </si>
  <si>
    <t>Michigan, Upper Peninsula</t>
  </si>
  <si>
    <t>Harding and Bloomer (1979; HERP, Bulletin of the New York Herpetological Society 15(1):9-26).</t>
  </si>
  <si>
    <t>Strydon (2001; University of Stellenbosch MS Thesis).</t>
  </si>
  <si>
    <t>Grenadier Island, Ontario</t>
  </si>
  <si>
    <t>Petokas (1986; Dissertation University of New York, Binghamton).</t>
  </si>
  <si>
    <t>Orinoco, Venezuela</t>
  </si>
  <si>
    <t>Nayarit, Mexico</t>
  </si>
  <si>
    <t>Olukole Nigeria</t>
  </si>
  <si>
    <t>N. Africa</t>
  </si>
  <si>
    <t>Balkan Peninsula</t>
  </si>
  <si>
    <t>Franklin County, Florida</t>
  </si>
  <si>
    <t>Sunderbans, India</t>
  </si>
  <si>
    <t>Fiebig and Lehr (2000; Salamandra 36:147-156).</t>
  </si>
  <si>
    <t>Ahsan and Saeed (1992; Hamadryad 17:28-31).</t>
  </si>
  <si>
    <t>Jefferson Co., New York</t>
  </si>
  <si>
    <t>Petokas (1979; Masters thesis State University of New York).</t>
  </si>
  <si>
    <t>Frenso Co., California</t>
  </si>
  <si>
    <t>Germano (2020; California Fish and Wildlife Journal 106(4):260-267).</t>
  </si>
  <si>
    <t>Subfamily</t>
  </si>
  <si>
    <t>Carettinae</t>
  </si>
  <si>
    <t>Cheloniinae</t>
  </si>
  <si>
    <t>Kinosterninae</t>
  </si>
  <si>
    <t>Staurotypinae</t>
  </si>
  <si>
    <t>Deirochelyinae</t>
  </si>
  <si>
    <t>Emydinae</t>
  </si>
  <si>
    <t>Rhinoclemmydinae</t>
  </si>
  <si>
    <t>Batagurinae</t>
  </si>
  <si>
    <t>Geoemydinae</t>
  </si>
  <si>
    <t>Xerobatinae</t>
  </si>
  <si>
    <t>Manouriinae</t>
  </si>
  <si>
    <t>Testudininae</t>
  </si>
  <si>
    <t>Cyclanorbinae</t>
  </si>
  <si>
    <t>Trionychinae</t>
  </si>
  <si>
    <t>Chelinae</t>
  </si>
  <si>
    <t>Hydromedusinae</t>
  </si>
  <si>
    <t>Chelodininae</t>
  </si>
  <si>
    <t>Pseudemydurinae</t>
  </si>
  <si>
    <t>Erymnochelyinae</t>
  </si>
  <si>
    <t>Peltocephalinae</t>
  </si>
  <si>
    <t>Podocnemidinae</t>
  </si>
  <si>
    <t>Wilms and Löhr (2000. Draco 1(2):56-59).</t>
  </si>
  <si>
    <t>Langula (1990; Elaphe 12(1):1-4).</t>
  </si>
  <si>
    <t>Hilgenhof (2001; Radiata 10(1):3-12).</t>
  </si>
  <si>
    <t>Helm (1999; Radiata 8(2):7-11).</t>
  </si>
  <si>
    <t>Giebner (1989; Elaphe 11(3):42-46).</t>
  </si>
  <si>
    <t>Mahn (2001; Draco 8(2):50-55).</t>
  </si>
  <si>
    <t>peltifer</t>
  </si>
  <si>
    <t>family</t>
  </si>
  <si>
    <t>genus</t>
  </si>
  <si>
    <t>species</t>
  </si>
  <si>
    <t>Slavens and Slavens 1999</t>
  </si>
  <si>
    <t>de Magalhaes and Costa, 2009</t>
  </si>
  <si>
    <t>Mertens 1970</t>
  </si>
  <si>
    <t>fimbriatus</t>
  </si>
  <si>
    <t>Martins and Souza 2008 estimate ca. 100 years but no actual data</t>
  </si>
  <si>
    <t>Fabius 2016</t>
  </si>
  <si>
    <t>Blamires et al. 2005</t>
  </si>
  <si>
    <t>kempii</t>
  </si>
  <si>
    <t>rossignonii</t>
  </si>
  <si>
    <t>30 anage</t>
  </si>
  <si>
    <t>dorsalis</t>
  </si>
  <si>
    <t>Congdon et al. 2003</t>
  </si>
  <si>
    <t>60 anage</t>
  </si>
  <si>
    <t>Ernst and Lovich 2009; Lindeman 2013</t>
  </si>
  <si>
    <t>Lindeman 2013</t>
  </si>
  <si>
    <t>Francis Rose pers. comm.</t>
  </si>
  <si>
    <t>Flower 1925</t>
  </si>
  <si>
    <t>evelynae</t>
  </si>
  <si>
    <t>William McCord pers. comm (he estimates them at 35 to 55 years)</t>
  </si>
  <si>
    <t>William McCord pers. comm (he estimates them at a minimum of 39 years)</t>
  </si>
  <si>
    <t>Hughes 1986 Africa</t>
  </si>
  <si>
    <t>Flower 1937</t>
  </si>
  <si>
    <t>Hedrick and Iverson 2017</t>
  </si>
  <si>
    <t>152 anage</t>
  </si>
  <si>
    <t>Pedrono and Clausen 2018 say no data</t>
  </si>
  <si>
    <t>carbonarius</t>
  </si>
  <si>
    <t>denticulatus</t>
  </si>
  <si>
    <t>Vyas 2011 (also 35)</t>
  </si>
  <si>
    <t>Baard 1995</t>
  </si>
  <si>
    <t>Dathe 2002; Ernst and Lovich 2009</t>
  </si>
  <si>
    <t>Alabama, Cahaba River</t>
  </si>
  <si>
    <t>ca 33</t>
  </si>
  <si>
    <t>Welc (2021; Masters thesis Auburn University).</t>
  </si>
  <si>
    <t>May (2021; Radiata 30(2):22-35).</t>
  </si>
  <si>
    <t>Morelos, Mexico</t>
  </si>
  <si>
    <t>Wayne Co. Indiana</t>
  </si>
  <si>
    <t>J. B. Iverson unpublished.</t>
  </si>
  <si>
    <t>de la Cruz Merlo (2021; Thesis. Benemérita Universidad Autónoma de Puebla.  49pp.</t>
  </si>
  <si>
    <t>Som et al. (2021; Herpetological Review 52:389-390).</t>
  </si>
  <si>
    <t>Mora and Castañeda (2021. Neotropical Biologuy and Conservation 16:273-287); and Mora (pers. comm.)</t>
  </si>
  <si>
    <t>Hainan Island, China</t>
  </si>
  <si>
    <t>Wang et al. (2021; Chelonian Conservation and Biology 20:103-108).</t>
  </si>
  <si>
    <t>Pelodiscus huangshanensis</t>
  </si>
  <si>
    <t>Surinam (yellow)</t>
  </si>
  <si>
    <t>Argentina (red)</t>
  </si>
  <si>
    <t>8 to 10</t>
  </si>
  <si>
    <t>9 to 10</t>
  </si>
  <si>
    <t>Whitaker and Yelahanka (2021; Indian Zoo Year Book 9:34-39)</t>
  </si>
  <si>
    <t>Quijano Yolotzin Nallely (2008; Undergraduate Thesis, UNAM Iztacala, Mexico)</t>
  </si>
  <si>
    <t>Drajeske (2021; The Batagur 11:1-12).</t>
  </si>
  <si>
    <t>Hummel and Felsner (2021; The Batagur 11:14-31) [Originally published in 2003 Sacalia 1:11-36]</t>
  </si>
  <si>
    <t>Akveran and Ayas (2019; Herpetology Notes 12:667-673).</t>
  </si>
  <si>
    <t>Singh et al. (2021; Herpetological Review 52:628-629).</t>
  </si>
  <si>
    <t>huangshanensis</t>
  </si>
  <si>
    <t>Fritz and Obst (1999; Sauria 21:11-26).</t>
  </si>
  <si>
    <t>Gong et al. (2021; Zootaxa 5060:137-145)</t>
  </si>
  <si>
    <t>Chelodina kurrichalpongo</t>
  </si>
  <si>
    <t>kurrichalpongo</t>
  </si>
  <si>
    <t>Mesoclemmys wermuthi</t>
  </si>
  <si>
    <t>wermuthi</t>
  </si>
  <si>
    <t>Ranacephala</t>
  </si>
  <si>
    <t>Ranacephala hogei</t>
  </si>
  <si>
    <t>Emydura gunaleni</t>
  </si>
  <si>
    <t>medemi</t>
  </si>
  <si>
    <t>Trachemys hartwegi</t>
  </si>
  <si>
    <t>hartwegi</t>
  </si>
  <si>
    <t>Hentschel (2020; Sacalia 69:6-15).</t>
  </si>
  <si>
    <t>Terrapene yucatana</t>
  </si>
  <si>
    <t>yucatana</t>
  </si>
  <si>
    <t>whitei</t>
  </si>
  <si>
    <t>nabeulensis</t>
  </si>
  <si>
    <t>Pelodiscus variegatus</t>
  </si>
  <si>
    <t>variegatus</t>
  </si>
  <si>
    <t>NW China</t>
  </si>
  <si>
    <t>Zhu et al. (2021; Chelonian Conservation and Biology 20:290-295).</t>
  </si>
  <si>
    <t>Leshem et al. (1991; Physiol. Zool. 64:568-594), Leshem and Dmi'el (1986; Herpetological Journal 1:115-117).</t>
  </si>
  <si>
    <t>Visoot et al. (2021; Tropical Natural History 21(3): 354-364).</t>
  </si>
  <si>
    <t>Girondot et al. (2021; Marine Ecology 00:e12631)</t>
  </si>
  <si>
    <t>de la Ossa Velasquez (2007; M.S. Thesis, Universidade Federal do Amazonas).</t>
  </si>
  <si>
    <t>centrata</t>
  </si>
  <si>
    <t>pileata</t>
  </si>
  <si>
    <t>tequesta</t>
  </si>
  <si>
    <t>Myuchelys georgesii</t>
  </si>
  <si>
    <t>chitra</t>
  </si>
  <si>
    <t>Giraldo et al. (2013; Catálogo de Anfibios y Reptiles de Colombia 1:31-34); Rueda-Almonacid et al.  (2007; Las Tortugas y los Cocodrilianos de los Países Andinos del Trópico).</t>
  </si>
  <si>
    <t>hippocrepis</t>
  </si>
  <si>
    <t>Vogt et al. (2019; Herpetological Review 50:557)</t>
  </si>
  <si>
    <t>Vogt et al. (2019; Herpetological Review 50:557-558)</t>
  </si>
  <si>
    <t>+4</t>
  </si>
  <si>
    <t>Elsey and Platt (2021; Herpetological Review 52:743-747).</t>
  </si>
  <si>
    <t>Louisiana (Introduced)</t>
  </si>
  <si>
    <t>Wüthrich (2005; Testudo 14:48).</t>
  </si>
  <si>
    <t>Marion County, Forida</t>
  </si>
  <si>
    <t>Heston et al. (2022; Biological Journal of the Linnean Society 10.1093/biolinnean/blab163).</t>
  </si>
  <si>
    <t>N. Australia</t>
  </si>
  <si>
    <t>Fordam et al. (2007; Journal of Animal Ecology 76:1231-1243).</t>
  </si>
  <si>
    <t>Townsville, Australia</t>
  </si>
  <si>
    <t>Trembath (2005; Masters Thesis, University Canberra, Australia).</t>
  </si>
  <si>
    <t>"Praschag pers. Comm" in Praschag et al. (2021; Nilssonia nigricans. The IUCN Red List of Threatened Species. 2012e.T2173A2778172).</t>
  </si>
  <si>
    <t>Ritz et al. (2010; Herpetological Journal 20:213-216).</t>
  </si>
  <si>
    <t>Holland (1994; Final Report U.S. Deptment of Energy).</t>
  </si>
  <si>
    <t>SW Colorado</t>
  </si>
  <si>
    <t>Cooley et al. (2003; Southwestern Naturalist 48:47-53).</t>
  </si>
  <si>
    <t>Litzgus and Brooks (1998; Journal of Herpetology 32:252-259); Litzgus (2006; Copeia 2006:281-288).</t>
  </si>
  <si>
    <t>Holub and Bloomer (1977; HERP Bulletin New York Herpetological Society 13:9-23).</t>
  </si>
  <si>
    <t>Blankenship et al. (2008; Conservation Biology of Freshwater Turtles and Tortoises: A Compilation Project of the IUCN/SSC Tortoise and Freshwater Turtle Specialist Group. Chelonian Research Mono- graphs No. 5, pp. 005.1-005.6).</t>
  </si>
  <si>
    <t>Ernst and Lovich (2009; Turtle of the United States and Canada, p337).</t>
  </si>
  <si>
    <t>uhrigi</t>
  </si>
  <si>
    <t>Sena et al. (2021; Anais da Academia Brasileira de Ciências 93(suppl. 2):1-20).</t>
  </si>
  <si>
    <t>Seychelles Islands</t>
  </si>
  <si>
    <t>Gerlach (2008; Conservation Biology of Freshwater Turtles and Tortoises: A Compilation Project of the IUCN/SSC Tortoise and Freshwater Turtle Specialist Group. Chelonian Research Monographs No. 5, pp. 010.1-010.4).</t>
  </si>
  <si>
    <t>Gerlach (2008; Conservation Biology of Freshwater Turtles and Tortoises: A Compilation Project of the IUCN/SSC Tortoise and Freshwater Turtle Specialist Group. Chelonian Research Monographs No. 5, pp. 016.1-016.4).</t>
  </si>
  <si>
    <t>Seychelles (captive)</t>
  </si>
  <si>
    <t>Hart and McIvor (2008; Copeia 2008:200-208).</t>
  </si>
  <si>
    <t>Everglades</t>
  </si>
  <si>
    <t>Southern Illinois</t>
  </si>
  <si>
    <t>Dreslike (1997; Herpetological Natural History 5:135-145).</t>
  </si>
  <si>
    <t>Vermersch (1992; Lizards and Turtles of Southcentral Texas).</t>
  </si>
  <si>
    <t>Albama</t>
  </si>
  <si>
    <t>Close in Mount (1981; U.S. Fish and Wildlife Service Final Report).</t>
  </si>
  <si>
    <t>Woodbury and Hardy (1948; Ecological Monographs 18:145-200).</t>
  </si>
  <si>
    <t>Utah</t>
  </si>
  <si>
    <t>Berry (1978; Transactions of the 43rd North American Wildlife Natural Resources Conference pp 505-519).</t>
  </si>
  <si>
    <t>Kenwick and Hofmeyr (2013; African Journal of Herpetology 62:63-77).</t>
  </si>
  <si>
    <t>Cicek et al. (2016; Zoology in the Middle East 62:29-38).</t>
  </si>
  <si>
    <t>Anatolia, Turkey</t>
  </si>
  <si>
    <t>Germano (1994; Canadian Journal of Zoology 72:918-931).</t>
  </si>
  <si>
    <t>Western Mojave</t>
  </si>
  <si>
    <t>Eastern Mojave</t>
  </si>
  <si>
    <t>Sinaloa</t>
  </si>
  <si>
    <t>Sonoran Desert</t>
  </si>
  <si>
    <t>Mushinsky et al. (1994; Herpetologica 50:119-128).</t>
  </si>
  <si>
    <t>McKeown (1996; A Field Guide to Reptiles and Amphibians in the Hawaiian Islands. Diamond Head, Los Osos, California).</t>
  </si>
  <si>
    <t>Yun et al. (1984; Acta Hydrobiologica Sinica 8:145-156).</t>
  </si>
  <si>
    <t>Szczerbak (2003; Guide to the Reptiles of the Eastern Palearctic); Tagirova (1997; Reptiles of Khabarovskii Region).</t>
  </si>
  <si>
    <t>Bhat et al. (2019; Journal of Morphology 280:1881-1899).</t>
  </si>
  <si>
    <t>Loehr et al. (2007; Oecologica 153:479-488).</t>
  </si>
  <si>
    <t>McCromick (1992; Tortuga Gazette 28:1-3).</t>
  </si>
  <si>
    <t>Sriprateep et al. (2013; Tropical Natural History 13:21-37).</t>
  </si>
  <si>
    <t>Lawson (2010; African Journal of Herpetology 50:1-7).</t>
  </si>
  <si>
    <t>Cameroon</t>
  </si>
  <si>
    <t>Rouag et al. (2007; Animal Biology 57:267-279).</t>
  </si>
  <si>
    <t>Willemsen and Hailely (1999; Journal of Zoology, London 248:379-396).</t>
  </si>
  <si>
    <t>Schoppe (2009; TRAFFIC Southeast Asia, Petaling Jaya, Selangor, Malaysia).</t>
  </si>
  <si>
    <t>couro</t>
  </si>
  <si>
    <t>Hagen et al. (2009; TFTSG Species Account).</t>
  </si>
  <si>
    <t>Wang et al. (2019; Animal Reproduction Science 205:78-87).</t>
  </si>
  <si>
    <t>Li and Tang (1997; Journal of Chinese Medicinal Materials 29:441-444).</t>
  </si>
  <si>
    <t>Saka et al. (2014; Current Herpetology 33:21-28).</t>
  </si>
  <si>
    <t>Iverson (2022; Herp Review 53:311–312)</t>
  </si>
  <si>
    <t>wild</t>
  </si>
  <si>
    <t>Platt et al. 2023; Herp. Rev. 54:395-396).</t>
  </si>
  <si>
    <t>Wnek (2010; PhD thesis, Rutgers University)</t>
  </si>
  <si>
    <t>Barnegat Bay, New Jersey</t>
  </si>
  <si>
    <t>Hidalgo, Mexico</t>
  </si>
  <si>
    <t>Mimila-Manzur et al. (2023. Phyllomedusa 22:171–179)</t>
  </si>
  <si>
    <t>Manipur, India</t>
  </si>
  <si>
    <t>Kinthoi (2013; PhD. thesis, Gauhati University)</t>
  </si>
  <si>
    <t>Bishop et al. (2021. J. Zoo Aquar. Res. 9:150–156)</t>
  </si>
  <si>
    <t>Donini et al. (2002; Chel. Cons. Biol. 21:218–224).</t>
  </si>
  <si>
    <t>west Texas</t>
  </si>
  <si>
    <t>Bohannon et al. (2022; Chelon. Conserv. Biol. 21:246–255).</t>
  </si>
  <si>
    <t>miaria</t>
  </si>
  <si>
    <t>east Texas</t>
  </si>
  <si>
    <t>Bowers et al. (2022; Chelon. Conserv. Biol. 21:225–231).</t>
  </si>
  <si>
    <t>Kitui County, Kenya</t>
  </si>
  <si>
    <t>Ngawa, Malonza, Xiao, and Shi (2022; unpublished MS on reproductive ecology).</t>
  </si>
  <si>
    <t>Mill (2015; Radiata 24:4-60).</t>
  </si>
  <si>
    <t xml:space="preserve">Mill (2015; Radiata 24:4-60). </t>
  </si>
  <si>
    <t>4+</t>
  </si>
  <si>
    <t>esitmated</t>
  </si>
  <si>
    <t>Platt et al. (2022; Herpetol. Rev. 53:488–490).</t>
  </si>
  <si>
    <t>SW Louisiana</t>
  </si>
  <si>
    <t>Donini and Selman (2022; Southeast. Nat. 21:235–245).</t>
  </si>
  <si>
    <t>Plat et al. (2023; TSA annual meeting Charleston SC abstracts p. 63); Platt et al. (2022; Herpetol. Rev. 53:305-306).</t>
  </si>
  <si>
    <t>Hungary</t>
  </si>
  <si>
    <t>Kiss et al. (2021. Herpetol. Conserv. Biol. 16:624–638).</t>
  </si>
  <si>
    <t>Fukada et al. (2022; Herpetol. Rev. 53:246–249).</t>
  </si>
  <si>
    <t>Japan, Okinawa</t>
  </si>
  <si>
    <t>Schleicher (2022; African Herp News 32:1–3).</t>
  </si>
  <si>
    <t>32-33</t>
  </si>
  <si>
    <t>Chandler et al. (2022; J. Ichthyol. Herpetol. 110:268–277).</t>
  </si>
  <si>
    <t>Kitimasak et al. (2003; Thai J. Agric. Sci. 36:141–154).</t>
  </si>
  <si>
    <t>Hong et al. (2022; Amphibian and Reptile Conservation 16:62–68 (e316)).</t>
  </si>
  <si>
    <t>Hong et al, (2018; Acta Hydrobio. Sinica 42:794-799 IN: Hong et al. (2022; Amphib. Rept. Conserv. 16:62-68 (e316)).</t>
  </si>
  <si>
    <t>Moll (1985; Proc. Symp. Endangered Mar. Anim. and Nat. Parks). IN: Das (1991; Colour Guide to the Turtles and Tortoises of the Indian Subcontinent)).</t>
  </si>
  <si>
    <t>Florida, Blue and Wekiwa Springs</t>
  </si>
  <si>
    <t>28.70-30.49</t>
  </si>
  <si>
    <t>Siders et al. (2023. Biology 11:965).</t>
  </si>
  <si>
    <t>suwannensis</t>
  </si>
  <si>
    <t>Florida, Fanning and Manatee Springs</t>
  </si>
  <si>
    <t>Texas, Comal Springs</t>
  </si>
  <si>
    <t>Santana (2016; Thesis University of Pariabas); Santana et al. (2022; Chelon. Conserv. Biol. 21:89–102)</t>
  </si>
  <si>
    <t>Santana (2016; Thesis University of Pariabas); Santana et al. (2022; Chelon. Conserv. Biol. 21:89–102).</t>
  </si>
  <si>
    <t>Longevity (wild)</t>
  </si>
  <si>
    <t>Longevity (captive)</t>
  </si>
  <si>
    <t>Longevity (other)</t>
  </si>
  <si>
    <t>Source other</t>
  </si>
  <si>
    <t>Longevity (other, e.g., skeletonochronolgy)</t>
  </si>
  <si>
    <t>Those in green have been at last double checked.</t>
  </si>
  <si>
    <t>Slavens and Slavens 2000</t>
  </si>
  <si>
    <t>AnAge 2022</t>
  </si>
  <si>
    <t xml:space="preserve"> </t>
  </si>
  <si>
    <t>Elliott 2012; 37.1 Slavens and Slavens 2000</t>
  </si>
  <si>
    <t>Fritz and Jauch 1989 and Isabel Koch, pers. comm.</t>
  </si>
  <si>
    <t>Kawata 2003</t>
  </si>
  <si>
    <t>Gunther Schida Facebook 19 June 2020</t>
  </si>
  <si>
    <t>Slavens and Slavens  2000</t>
  </si>
  <si>
    <t>Fielder et al. 2015</t>
  </si>
  <si>
    <t>Krysko et al. 2011</t>
  </si>
  <si>
    <t>Anon 2013</t>
  </si>
  <si>
    <t>Shamblin et al. 2021</t>
  </si>
  <si>
    <t xml:space="preserve"> Bourliere 1946; Castanet 1994</t>
  </si>
  <si>
    <t>Scott et al. 2012</t>
  </si>
  <si>
    <t>Margaritoulis et al. 2020 (field); Hughes 1986 and Slavens and Slavens 2000; Dodd 1988 est 47-62; Frazer 1983 54-67</t>
  </si>
  <si>
    <t>Zug and Balazs 1985</t>
  </si>
  <si>
    <t>AnAge with no specific source</t>
  </si>
  <si>
    <t>Meylan and Redlow 2006</t>
  </si>
  <si>
    <t>Schmid et al. 2020</t>
  </si>
  <si>
    <t>Ernst and Lovich 2009 (also another, 18 years as an adult)</t>
  </si>
  <si>
    <t>Turner Tomaszewicz et al. 2022</t>
  </si>
  <si>
    <t>Njal Rollinson pers. comm.</t>
  </si>
  <si>
    <t>Conant and Hudson 1949</t>
  </si>
  <si>
    <t xml:space="preserve">Mendyk and Smith 2016 </t>
  </si>
  <si>
    <t>Avens et al. 2020</t>
  </si>
  <si>
    <t>Bury et al. 2012</t>
  </si>
  <si>
    <t>in field Hoekstra et al. 2018</t>
  </si>
  <si>
    <t>Seburn 2018</t>
  </si>
  <si>
    <t>Litzgus 2006</t>
  </si>
  <si>
    <t>Ruther et al. 2017</t>
  </si>
  <si>
    <t>Dale Jackson pers comm.</t>
  </si>
  <si>
    <t>Congdon et al. 2022</t>
  </si>
  <si>
    <t>Brecke and Moriarity 1989</t>
  </si>
  <si>
    <t xml:space="preserve"> Jablonski and Jablonska 1998 = 120 based on engraved turtles</t>
  </si>
  <si>
    <t>Hughes 1986</t>
  </si>
  <si>
    <t>Slavens and Slavens 2000; 66, 62 Flower 1925</t>
  </si>
  <si>
    <t>Brown et al. 2015</t>
  </si>
  <si>
    <t>Oliver 1955</t>
  </si>
  <si>
    <t>Zappalorti 2022</t>
  </si>
  <si>
    <t>Gress 2009</t>
  </si>
  <si>
    <t>Lindeman 2013 (also 37 years)</t>
  </si>
  <si>
    <t xml:space="preserve"> Slavens and Slavens 2000; 31.7 Snider and Bowler 1992</t>
  </si>
  <si>
    <t>Nagle et al. 2023</t>
  </si>
  <si>
    <t xml:space="preserve"> Slavens and Slavens 2000</t>
  </si>
  <si>
    <t>Jones and Selman 2009; &gt;30 Lindeman 2013</t>
  </si>
  <si>
    <t>Jones 2017</t>
  </si>
  <si>
    <t>Slavens and Slavens 2000; Snider and Bowler 1992</t>
  </si>
  <si>
    <t>Wood 2014</t>
  </si>
  <si>
    <t>Dreslik et al. 199; Ernst and Lovich 2009</t>
  </si>
  <si>
    <t>c. suwanniensis</t>
  </si>
  <si>
    <t>Jackson 2003</t>
  </si>
  <si>
    <t>Slavens and Slavens 2000; Munscher et al. 2020</t>
  </si>
  <si>
    <t>Munscher et al. 2020</t>
  </si>
  <si>
    <t>Munscher et al. 2020; Jackson 2006</t>
  </si>
  <si>
    <t>Munscher et al 2020</t>
  </si>
  <si>
    <t>Nichols 1939 and Behler 2003</t>
  </si>
  <si>
    <t>Graham and Hutchison 1969</t>
  </si>
  <si>
    <t>Kashon and Carlson 2018</t>
  </si>
  <si>
    <t>15+</t>
  </si>
  <si>
    <t>Howeth and Brown 2011</t>
  </si>
  <si>
    <t>Lewis and Iverson 2019</t>
  </si>
  <si>
    <t>"65-74" Miller et al. 2001; Schwartz 2000</t>
  </si>
  <si>
    <t xml:space="preserve"> Slavens and Slavens 1999</t>
  </si>
  <si>
    <t>Seidel 2003</t>
  </si>
  <si>
    <t>Gibbons 1987</t>
  </si>
  <si>
    <t>Ernst and Lovich 2009; 41.3 Slavens and Slavens 2000</t>
  </si>
  <si>
    <t>up to 75</t>
  </si>
  <si>
    <t>Cagle 1950 estimate</t>
  </si>
  <si>
    <t>Lu and Hou 2003</t>
  </si>
  <si>
    <t>Bartlett and Bartlett 2018</t>
  </si>
  <si>
    <t>oldhami</t>
  </si>
  <si>
    <t>Pierlioni 2019</t>
  </si>
  <si>
    <t>Dawson et al. 2013</t>
  </si>
  <si>
    <t>Anders and Iverson 2011</t>
  </si>
  <si>
    <t>AnAge Probably misidentified =Mauremys mutica</t>
  </si>
  <si>
    <t>David Auth, pers. comm.</t>
  </si>
  <si>
    <t>Slavens and Slavens 2000; 23.5 Flower 1925</t>
  </si>
  <si>
    <t>Slavens and Slaven 2000</t>
  </si>
  <si>
    <t>Hans-Dieter Philippen pers. comm.(still alive at 30)</t>
  </si>
  <si>
    <t>Hofstra 2001</t>
  </si>
  <si>
    <t>Iverson 2014; pers. obs; hatched 1974; still alive 2024</t>
  </si>
  <si>
    <t xml:space="preserve">McCormick 1998 </t>
  </si>
  <si>
    <t>James F. Berry pers. comm. still alive in 2019</t>
  </si>
  <si>
    <t>Mittermeier 2021</t>
  </si>
  <si>
    <t>Johnson 1984</t>
  </si>
  <si>
    <t>Dathe 1998</t>
  </si>
  <si>
    <t>Dan St. Maries pers comm to Frank Slavens 2018</t>
  </si>
  <si>
    <t>Flower 1937; Pope 1939</t>
  </si>
  <si>
    <t>AnAge 2022 but based on Carey and Judge = not dependable</t>
  </si>
  <si>
    <t>Iverson 2016; still alive 2023</t>
  </si>
  <si>
    <t>&gt;28</t>
  </si>
  <si>
    <t>Munscher et al 2023</t>
  </si>
  <si>
    <t>Els et al. 2022</t>
  </si>
  <si>
    <t>Flower 1925; Hughes 1986; Slavens and Slavens 2000</t>
  </si>
  <si>
    <t>Hughes 1986; Slavens and Slavens 2000</t>
  </si>
  <si>
    <t>Pritchard 1988</t>
  </si>
  <si>
    <t>Chinsamy and Valenzuela 2008</t>
  </si>
  <si>
    <t>Free 2022</t>
  </si>
  <si>
    <t xml:space="preserve"> BBC news 2014; 179 Flower 1925; Bruce Watson says 255, apparently based on a(n) (exaggerated) Kolkata NDTV report on 22 January 2006</t>
  </si>
  <si>
    <t>Jacobsen 2011</t>
  </si>
  <si>
    <t>Methner 1986; 134 Rafeliarisoa et al. 2013</t>
  </si>
  <si>
    <t>n. abingdonii</t>
  </si>
  <si>
    <t>n. becki</t>
  </si>
  <si>
    <t>n. chathamensis</t>
  </si>
  <si>
    <t>n. darwini</t>
  </si>
  <si>
    <t>n. donfausti</t>
  </si>
  <si>
    <t>n. duncanensis</t>
  </si>
  <si>
    <t>Gibbs and Goldspiel 2021</t>
  </si>
  <si>
    <t>n. guntheri</t>
  </si>
  <si>
    <t>n. hoodensis</t>
  </si>
  <si>
    <t>Gibbs et al. 2014</t>
  </si>
  <si>
    <t>n. microphyes</t>
  </si>
  <si>
    <t>n. niger</t>
  </si>
  <si>
    <t>Slavens and Slavens 2000 (as nigra)</t>
  </si>
  <si>
    <t>n. phantasticus</t>
  </si>
  <si>
    <t>n. porteri</t>
  </si>
  <si>
    <t>Nilsen; 175 Anon 2005 ("Harriet"); 170 Murphy 2016</t>
  </si>
  <si>
    <t>n. vandenburghi</t>
  </si>
  <si>
    <t>n. vicina</t>
  </si>
  <si>
    <t>Vyas 2011</t>
  </si>
  <si>
    <t>Steve Platt pers. comm. ("over 30-35 years")</t>
  </si>
  <si>
    <t>Curtin et al. 2009</t>
  </si>
  <si>
    <t>Medica et al. 2012</t>
  </si>
  <si>
    <t>Rose and Judd 2014</t>
  </si>
  <si>
    <t xml:space="preserve"> Judd and McQueen 1982; 30.7 Slavens and Slavens 2000; 27.85 Germano 1992</t>
  </si>
  <si>
    <t>Berry et al. 2016; Curtin et al. 2009</t>
  </si>
  <si>
    <t>Ashton and Ashton 2008</t>
  </si>
  <si>
    <t>Gibbons and Greene 2009; 32.5 Germano, 1992</t>
  </si>
  <si>
    <t>Malonza et al. 2023</t>
  </si>
  <si>
    <t>Daneault and Ferrie 2019</t>
  </si>
  <si>
    <t>Leuteritz and Hofmeyr 2023</t>
  </si>
  <si>
    <t>Murphy 2016 (also 128 yrs)</t>
  </si>
  <si>
    <t>Anon 2001; 83 Farke and Distler 2015; 70 Flower 1925; Seeger 2009 45 as adult; 40 Meek 1985</t>
  </si>
  <si>
    <t>Philippen 2008</t>
  </si>
  <si>
    <t>vandijki</t>
  </si>
  <si>
    <t>maacki</t>
  </si>
  <si>
    <t>TURTLE LONGEVITY</t>
  </si>
  <si>
    <r>
      <t xml:space="preserve">Although there have been a number of recent reviews of the correlates of longevity in turtles (along with other reptiles; e.g., de Magalhães, J.P. and J. Costa 2009; Tacutu et al.  2013; Sabath et al. 2016; Stark et al. 2018), the underlying data sets contained frequent, sometimes significant errors (138 years for </t>
    </r>
    <r>
      <rPr>
        <i/>
        <sz val="12"/>
        <color rgb="FF000000"/>
        <rFont val="Times New Roman"/>
        <family val="1"/>
      </rPr>
      <t>Terrapene coahuila</t>
    </r>
    <r>
      <rPr>
        <sz val="12"/>
        <color rgb="FF000000"/>
        <rFont val="Times New Roman"/>
        <family val="1"/>
      </rPr>
      <t>, by Stark et al. 2018, instead of the 18.8 year record by Slavens and Slavens 2000; among many other examples).</t>
    </r>
  </si>
  <si>
    <r>
      <t xml:space="preserve">These errors originated primarily because of uncritical acceptance of casually estimated longevities in the secondary literature, as well as the failure to understand modern chelonian nomenclature (e.g., </t>
    </r>
    <r>
      <rPr>
        <i/>
        <sz val="12"/>
        <color rgb="FF000000"/>
        <rFont val="Times New Roman"/>
        <family val="1"/>
      </rPr>
      <t>Hydraspis hilarii</t>
    </r>
    <r>
      <rPr>
        <sz val="12"/>
        <color rgb="FF000000"/>
        <rFont val="Times New Roman"/>
        <family val="1"/>
      </rPr>
      <t xml:space="preserve"> in the family Cheloniidae in Carey and Judge 2000, rather than the appropriate </t>
    </r>
    <r>
      <rPr>
        <i/>
        <sz val="12"/>
        <color rgb="FF000000"/>
        <rFont val="Times New Roman"/>
        <family val="1"/>
      </rPr>
      <t>Phrynops hilarii</t>
    </r>
    <r>
      <rPr>
        <sz val="12"/>
        <color rgb="FF000000"/>
        <rFont val="Times New Roman"/>
        <family val="1"/>
      </rPr>
      <t xml:space="preserve"> in the family Chelidae; or the recent partitioning of the genera </t>
    </r>
    <r>
      <rPr>
        <i/>
        <sz val="12"/>
        <color rgb="FF000000"/>
        <rFont val="Times New Roman"/>
        <family val="1"/>
      </rPr>
      <t>Chelodina</t>
    </r>
    <r>
      <rPr>
        <sz val="12"/>
        <color rgb="FF000000"/>
        <rFont val="Times New Roman"/>
        <family val="1"/>
      </rPr>
      <t xml:space="preserve">, </t>
    </r>
    <r>
      <rPr>
        <i/>
        <sz val="12"/>
        <color rgb="FF000000"/>
        <rFont val="Times New Roman"/>
        <family val="1"/>
      </rPr>
      <t>Gopherus</t>
    </r>
    <r>
      <rPr>
        <sz val="12"/>
        <color rgb="FF000000"/>
        <rFont val="Times New Roman"/>
        <family val="1"/>
      </rPr>
      <t xml:space="preserve">, </t>
    </r>
    <r>
      <rPr>
        <i/>
        <sz val="12"/>
        <color rgb="FF000000"/>
        <rFont val="Times New Roman"/>
        <family val="1"/>
      </rPr>
      <t>Pelomedusa,</t>
    </r>
    <r>
      <rPr>
        <sz val="12"/>
        <color rgb="FF000000"/>
        <rFont val="Times New Roman"/>
        <family val="1"/>
      </rPr>
      <t xml:space="preserve"> and </t>
    </r>
    <r>
      <rPr>
        <i/>
        <sz val="12"/>
        <color rgb="FF000000"/>
        <rFont val="Times New Roman"/>
        <family val="1"/>
      </rPr>
      <t>Trachemys</t>
    </r>
    <r>
      <rPr>
        <sz val="12"/>
        <color rgb="FF000000"/>
        <rFont val="Times New Roman"/>
        <family val="1"/>
      </rPr>
      <t>; e.g., see TTWG 2021).</t>
    </r>
  </si>
  <si>
    <t>The development and refinement of the on-line AnAge database has over time reduced the errors perpetuated in the previous literature, but that effort has not kept up with the specialized husbandry and field ecology literature on turtles. In my current effort to examine the evolution of turtle life histories, it became clear that I needed to compile a more complete and rigorous data set on turtle longevity. I have mined the literature far beyond the material cited in on-line sources like Google Scholar, to include obscure gray literature on husbandry (e.g., in the journals Batagur, Emys, Manouria, Marginata, Radiata, Sacalia, Salamandra, etc.). My longevity data follows the taxonomy of the TTWG (2021), and I have carefully identified the current accepted names regardless of what name was originally cited in association with longevity data.  I have compiled data based on wild populations separately from that for captive populations, and I have also separated longevity estimates based on skeletochronology or extrapolations from growth curves or demographic models.  Finally, I have also separately listed many (but not all) previous or questionable longevity records for various taxa for future reference.</t>
  </si>
  <si>
    <t>Literature Cited in the database (and this introduction)</t>
  </si>
  <si>
    <r>
      <t xml:space="preserve">Anders, B. and J.B Iverson. 2012. </t>
    </r>
    <r>
      <rPr>
        <i/>
        <sz val="12"/>
        <color rgb="FF000000"/>
        <rFont val="Times New Roman"/>
        <family val="1"/>
      </rPr>
      <t xml:space="preserve">Mauremys nigricans </t>
    </r>
    <r>
      <rPr>
        <sz val="12"/>
        <color rgb="FF000000"/>
        <rFont val="Times New Roman"/>
        <family val="1"/>
      </rPr>
      <t>(Gray 1834) – Red-necked Pond Turtle, Chinese Red-necked Turtle, Kwangtung River Turtle, Black-necked Pond Turtle. In: Rhodin, A.G.J., Pritchard, P.C.H., van Dijk, P.P., Saumure, R.A., Buhlmann, K.A., Iverson, J.B., and Mittermeier, R.A. (Eds.). Conservation Biology of Freshwater Turtles and Tortoises: A Compilation Project of the IUCN/SSC Tortoise and Freshwater Turtle Specialist Group. Chelonian Research Monographs 5:068.1–068.9.</t>
    </r>
  </si>
  <si>
    <t>Anon. 2001. Histoire d’une tortue d’Hermann. Manouria 4(10):6.</t>
  </si>
  <si>
    <t xml:space="preserve">Anon. 2005. Happy Birthday Harriet 175 years old. Reptilia 24:4.  </t>
  </si>
  <si>
    <t>Anon. 2013. Australia: Slow and steady for 50 years. Asian Turtle Program Bulletin 101:1–4.</t>
  </si>
  <si>
    <r>
      <t xml:space="preserve">Ashton, R.E. and P.S. Ashton. 2008 The Natural History and Management of the Gopher Tortoise </t>
    </r>
    <r>
      <rPr>
        <i/>
        <sz val="12"/>
        <color rgb="FF000000"/>
        <rFont val="Times New Roman"/>
        <family val="1"/>
      </rPr>
      <t>Gopherus polyphemus</t>
    </r>
    <r>
      <rPr>
        <sz val="12"/>
        <color rgb="FF000000"/>
        <rFont val="Times New Roman"/>
        <family val="1"/>
      </rPr>
      <t xml:space="preserve"> (Daudin). Krieger Publishing, Malabar, Florida.</t>
    </r>
  </si>
  <si>
    <t>Avens, L., L.R. Goshe, G.R. Zug, G.H. Balazs, S.R. Benson, and H. Harris. 2020. Regional comparison of leatherback turtle maturation attributes and reproductive longevity. Marine Biology 167:4.</t>
  </si>
  <si>
    <r>
      <t xml:space="preserve">Baard, E.H.W. 1995. Growth, age at maturity and sexual dimorphism in the Geometric Tortoise, </t>
    </r>
    <r>
      <rPr>
        <i/>
        <sz val="12"/>
        <color rgb="FF000000"/>
        <rFont val="Times New Roman"/>
        <family val="1"/>
      </rPr>
      <t>Psammobates geometricus</t>
    </r>
    <r>
      <rPr>
        <sz val="12"/>
        <color rgb="FF000000"/>
        <rFont val="Times New Roman"/>
        <family val="1"/>
      </rPr>
      <t>. Journal of the Herpetological Association of Africa 44(1):10–15</t>
    </r>
  </si>
  <si>
    <r>
      <t xml:space="preserve">Bartlett, R.D. and P.P. Bartlett. 2018. </t>
    </r>
    <r>
      <rPr>
        <i/>
        <sz val="12"/>
        <color rgb="FF000000"/>
        <rFont val="Times New Roman"/>
        <family val="1"/>
      </rPr>
      <t>Cuora flavomarginata</t>
    </r>
    <r>
      <rPr>
        <sz val="12"/>
        <color rgb="FF000000"/>
        <rFont val="Times New Roman"/>
        <family val="1"/>
      </rPr>
      <t xml:space="preserve"> (Yellow-margined Box Turtle). Longevity and macrocephaly. Herpetological Review 49:487­­–488.</t>
    </r>
  </si>
  <si>
    <t>BBC News. 2014. Saint Helena, South Atlantic Ocean: St. Helena’s 182-year-old giant tortoise.  BBC.com/news 12 March 2014.</t>
  </si>
  <si>
    <t>Behler, J.L. 2003. Chelonian centenarian. A 100-year-old turtle. Curator’s Report. Spring 2003.</t>
  </si>
  <si>
    <t>Berry, K.H., L.M. Lyren, J.S. Mack, L.A. Brand, and D.A. Wood. 2016. Desert Tortoise Annotated Bibliography, 1991-2015. U.S. Department of the Interior, U.S. Geological Survey Open File Report 2016–1023.</t>
  </si>
  <si>
    <t>Blamires, S.J., R.-J. Spencer, P. King, and M.B. Thompson. 2005. Population parameters and life table analysis of two co-existing freshwater turtles: Are the Bellinger River turtle populations threatened? Wildlife Research 32:339–347.</t>
  </si>
  <si>
    <t>Bourlière, F. 1946. Longévité moyenne et longévité maximum chez les vertébrés. Ann. Biol. Paris 22:250–270.</t>
  </si>
  <si>
    <r>
      <t xml:space="preserve">Brecke, B. and J.J. Moriarity. 1989. </t>
    </r>
    <r>
      <rPr>
        <i/>
        <sz val="12"/>
        <color rgb="FF000000"/>
        <rFont val="Times New Roman"/>
        <family val="1"/>
      </rPr>
      <t>Emydoidea blandingi</t>
    </r>
    <r>
      <rPr>
        <sz val="12"/>
        <color rgb="FF000000"/>
        <rFont val="Times New Roman"/>
        <family val="1"/>
      </rPr>
      <t xml:space="preserve"> (Blanding’s Turtle); Longevity. Herpetological Review 20:53.</t>
    </r>
  </si>
  <si>
    <r>
      <t xml:space="preserve">Brown, D.J., M. Schrage, D. Ryan, R.A. Moen, M.D. Nelson, and R.R. Buech. 2005. </t>
    </r>
    <r>
      <rPr>
        <i/>
        <sz val="12"/>
        <color rgb="FF000000"/>
        <rFont val="Times New Roman"/>
        <family val="1"/>
      </rPr>
      <t>Glyptemys insculpta</t>
    </r>
    <r>
      <rPr>
        <sz val="12"/>
        <color rgb="FF000000"/>
        <rFont val="Times New Roman"/>
        <family val="1"/>
      </rPr>
      <t xml:space="preserve"> (Wood Turtle). Longevity in the wild. Herpetological Review 46:243­­–244.</t>
    </r>
  </si>
  <si>
    <t xml:space="preserve">Bury, R.B., H.H. Welsh, Jr., D.J. Germano and D.T. Ashton. 2012. Western Pond Turtle: Biology, sampling techniques, inventory and monitoring, conservation and management. Northwest Fauna:1–128. </t>
  </si>
  <si>
    <r>
      <t xml:space="preserve">Cagle, F.R. 1950. The life history of the Slider Turtle, </t>
    </r>
    <r>
      <rPr>
        <i/>
        <sz val="12"/>
        <color rgb="FF000000"/>
        <rFont val="Times New Roman"/>
        <family val="1"/>
      </rPr>
      <t>Pseudemys scripta troosti</t>
    </r>
    <r>
      <rPr>
        <sz val="12"/>
        <color rgb="FF000000"/>
        <rFont val="Times New Roman"/>
        <family val="1"/>
      </rPr>
      <t xml:space="preserve"> (Holbrook). Ecological Monographs 20:31-54.</t>
    </r>
  </si>
  <si>
    <t>Cann, J. and R. Sadlier. 2017. Freshwater Turtles of Australia. ECO Wear Publishing, Rodeo New Mexico.</t>
  </si>
  <si>
    <t>Carey, J.R. and D.S. Judge. 2000. Life Spans of Mammals, Birds, Amphibians, Reptiles, and Fish. Odense Monographs on Aging 8. Odense University Press, Odense, Denmark.  214 pp.</t>
  </si>
  <si>
    <t xml:space="preserve">Castanet, J. 1994. Age estimation and longevity in reptiles. Gerontology 40:174–192 </t>
  </si>
  <si>
    <r>
      <t xml:space="preserve">Chinsamy, A. and N. Valenzuela. 2008. Skeletochronology of the endangered side-neck turtle, </t>
    </r>
    <r>
      <rPr>
        <i/>
        <sz val="12"/>
        <color rgb="FF000000"/>
        <rFont val="Times New Roman"/>
        <family val="1"/>
      </rPr>
      <t>Podocnemis expansa</t>
    </r>
    <r>
      <rPr>
        <sz val="12"/>
        <color rgb="FF000000"/>
        <rFont val="Times New Roman"/>
        <family val="1"/>
      </rPr>
      <t>. South Africa Journal of Science 104:311–314.</t>
    </r>
  </si>
  <si>
    <t>Conant, R. and R.G. Hudson. 1949. Longevity records for reptiles and amphibians in the Philadelphia Zoological Gardens. Herpetologica 5(1):1–8.</t>
  </si>
  <si>
    <r>
      <t>Congdon, J.D. R.D. Nagle, O.M. Kinney, R.C. van Loben Sels, T. Quinter, and D.W. Tinkle. 2003. Testing hypotheses of aging in long-lived Painted Turtles (</t>
    </r>
    <r>
      <rPr>
        <i/>
        <sz val="12"/>
        <color rgb="FF000000"/>
        <rFont val="Times New Roman"/>
        <family val="1"/>
      </rPr>
      <t>Chrysemys picta</t>
    </r>
    <r>
      <rPr>
        <sz val="12"/>
        <color rgb="FF000000"/>
        <rFont val="Times New Roman"/>
        <family val="1"/>
      </rPr>
      <t>). Experimental Gerontology 38:765–772.</t>
    </r>
  </si>
  <si>
    <r>
      <t>Curtin, A.J., G.R. Zug, and J.R. Spotila. 2009. Longevity and growth strategies of the Desert Tortoise (</t>
    </r>
    <r>
      <rPr>
        <i/>
        <sz val="12"/>
        <color rgb="FF000000"/>
        <rFont val="Times New Roman"/>
        <family val="1"/>
      </rPr>
      <t>Gopherus agassizii</t>
    </r>
    <r>
      <rPr>
        <sz val="12"/>
        <color rgb="FF000000"/>
        <rFont val="Times New Roman"/>
        <family val="1"/>
      </rPr>
      <t>) in two American deserts. Journal of Arid Environments 73:463–471.</t>
    </r>
  </si>
  <si>
    <r>
      <t>Daneault, A. and G.M. Ferrie. 2019. African Pancake Tortoise (</t>
    </r>
    <r>
      <rPr>
        <i/>
        <sz val="12"/>
        <color rgb="FF000000"/>
        <rFont val="Times New Roman"/>
        <family val="1"/>
      </rPr>
      <t>Malacochersus tornieri</t>
    </r>
    <r>
      <rPr>
        <sz val="12"/>
        <color rgb="FF000000"/>
        <rFont val="Times New Roman"/>
        <family val="1"/>
      </rPr>
      <t>) AZA Species Survival Plan Green Program. AZA Population Management Center.</t>
    </r>
  </si>
  <si>
    <t>Dathe, F. 1998. Die Haltung von Schlammschildkröten, Kinosternidae, im Tierpark Berlin-Friedrichsfelde von 1956 bis 1998. Milu, Berlin 6:526–532.</t>
  </si>
  <si>
    <r>
      <t xml:space="preserve">Dathe, F. 2002. Bemerkenswetees Alter einer Nackendorn-Weichschildkröte, </t>
    </r>
    <r>
      <rPr>
        <i/>
        <sz val="12"/>
        <color rgb="FF000000"/>
        <rFont val="Times New Roman"/>
        <family val="1"/>
      </rPr>
      <t xml:space="preserve">Trionyx steindachneri </t>
    </r>
    <r>
      <rPr>
        <sz val="12"/>
        <color rgb="FF000000"/>
        <rFont val="Times New Roman"/>
        <family val="1"/>
      </rPr>
      <t>(Siebenrock, 1906). Milu, Berlin 6:643–644.</t>
    </r>
  </si>
  <si>
    <r>
      <t xml:space="preserve">Dawson, J.E., R.E. Hatcher, and G.E. Calloway-Burke. 2013. </t>
    </r>
    <r>
      <rPr>
        <i/>
        <sz val="12"/>
        <color rgb="FF000000"/>
        <rFont val="Times New Roman"/>
        <family val="1"/>
      </rPr>
      <t>Mauremys annamensis</t>
    </r>
    <r>
      <rPr>
        <sz val="12"/>
        <color rgb="FF000000"/>
        <rFont val="Times New Roman"/>
        <family val="1"/>
      </rPr>
      <t xml:space="preserve"> (Vietnamese Pond Turtle). Locality and longevity. Herpetological Review 44:91–93.</t>
    </r>
  </si>
  <si>
    <t>de Magalhães, J.P. and J. Costa. 2009. A database of vertebrate longevity records and their relation to other life history traits. Journal of Evolutionary Biology 22:1770–1774.</t>
  </si>
  <si>
    <r>
      <t xml:space="preserve">Dodd, C.K., Jr. 1988. Synopsis of the biological data on the Loggerhead Sea Turtle </t>
    </r>
    <r>
      <rPr>
        <i/>
        <sz val="12"/>
        <color rgb="FF000000"/>
        <rFont val="Times New Roman"/>
        <family val="1"/>
      </rPr>
      <t>Caretta caretta</t>
    </r>
    <r>
      <rPr>
        <sz val="12"/>
        <color rgb="FF000000"/>
        <rFont val="Times New Roman"/>
        <family val="1"/>
      </rPr>
      <t xml:space="preserve"> (Linnaeus 1758). US Fish and Wildlife Service Biological Reports 88(14):1–110.  </t>
    </r>
  </si>
  <si>
    <t>Dreslik, M.J., E.O. Moll, C.A. Phillips, and T.P. Wilson. 1998. The endangered and threatened turtles of Illinois. Illinois Audubon 263:10–15.</t>
  </si>
  <si>
    <t>Elliott, A. 2012. A Guide to Australian Freshwater Turtles in Captivity. Reptile Publications, Burleigh, Queensland, Australia. 190 pp.</t>
  </si>
  <si>
    <t>Ernst, C.H. and J.E. Lovich. 2009. Turtles of the United States and Canada. Second Edition. Johns Hopkins University Press, Baltimore, Maryland. 827 pp.</t>
  </si>
  <si>
    <r>
      <t xml:space="preserve">Fabius, D. 2016. </t>
    </r>
    <r>
      <rPr>
        <i/>
        <sz val="12"/>
        <color rgb="FF000000"/>
        <rFont val="Times New Roman"/>
        <family val="1"/>
      </rPr>
      <t>Hydromedusa tectifera</t>
    </r>
    <r>
      <rPr>
        <sz val="12"/>
        <color rgb="FF000000"/>
        <rFont val="Times New Roman"/>
        <family val="1"/>
      </rPr>
      <t xml:space="preserve">; Observations in the wild and under captive care. The Batagur 6:1–11. </t>
    </r>
  </si>
  <si>
    <r>
      <t xml:space="preserve">Fielder, D.P., D.J. Limpus, and C.J. Limpus. 2015. Reproduction and population ecology of the vulnerable Western Sawshelled Turtle, </t>
    </r>
    <r>
      <rPr>
        <i/>
        <sz val="12"/>
        <color rgb="FF000000"/>
        <rFont val="Times New Roman"/>
        <family val="1"/>
      </rPr>
      <t>Myuchelys bellii</t>
    </r>
    <r>
      <rPr>
        <sz val="12"/>
        <color rgb="FF000000"/>
        <rFont val="Times New Roman"/>
        <family val="1"/>
      </rPr>
      <t>, in the Murray-Darling basin, Australia. Australian Journal of Zoology 62:463–476.</t>
    </r>
  </si>
  <si>
    <t>Flower, S.S. 1925. Contributions to our knowledge of the duration of life in vertebrate animals. III. Reptiles. Proceedings of the Zoological Society of London 1925:911–981.</t>
  </si>
  <si>
    <t>Flower, S.S. 1937. Further notes on the duration of life in animals. III. Reptiles. Proceedings of the Zoological Society of London 1937:1–39.</t>
  </si>
  <si>
    <r>
      <t xml:space="preserve">Frazer, N.B. 1983. Survivorship of adult female Loggerhead Sea Turtles, </t>
    </r>
    <r>
      <rPr>
        <i/>
        <sz val="12"/>
        <color rgb="FF000000"/>
        <rFont val="Times New Roman"/>
        <family val="1"/>
      </rPr>
      <t>Caretta caretta</t>
    </r>
    <r>
      <rPr>
        <sz val="12"/>
        <color rgb="FF000000"/>
        <rFont val="Times New Roman"/>
        <family val="1"/>
      </rPr>
      <t>, nesting on Little Cumberland Island, Georgia, USA. Herpetologica 39:436–447.</t>
    </r>
  </si>
  <si>
    <t>Free, C. 2022. The world’s oldest living land animal? At age 190, it’s Jonathan the tortoise. Washington Post 31 January 2022.</t>
  </si>
  <si>
    <r>
      <t xml:space="preserve">Fritz, U. and D. Jauch. 1989. Haltung, Balzverhalten und Nachzucht von Parkers Schlangenhalsschildkröte </t>
    </r>
    <r>
      <rPr>
        <i/>
        <sz val="12"/>
        <color rgb="FF000000"/>
        <rFont val="Times New Roman"/>
        <family val="1"/>
      </rPr>
      <t>Chelodina parkeri</t>
    </r>
    <r>
      <rPr>
        <sz val="12"/>
        <color rgb="FF000000"/>
        <rFont val="Times New Roman"/>
        <family val="1"/>
      </rPr>
      <t xml:space="preserve"> Rhodin and Mittermeier, 1976. Salamandra 25(1):1–13.</t>
    </r>
  </si>
  <si>
    <t>Germano, D.J. 1992. Longevity and age-size relationships of populations of desert tortoises. Copeia 1992:367–374.</t>
  </si>
  <si>
    <t xml:space="preserve">Gibbons, J.W. 1987. Why do turtles live so long? Bioscience 37(4):262–269. </t>
  </si>
  <si>
    <t>Gibbons, J.W. and J.L. Greene. 2009. Turtles: The Animal Answer Guide. Johns Hopkins University Press, Baltimore, Maryland. 184 pp.</t>
  </si>
  <si>
    <t>Gibbs, J.P. and H. Goldspiel. 2021. Population biology. Chapter 12. Pp. 241–260. In: J.P. Gibbs, L.J. Cayot, and W. Tapia. Galapagos Giant Tortoises. Elsevier, San Diego, California.</t>
  </si>
  <si>
    <t>Gibbs, J.P., E.A. Hunter, K.T. Shoemaker, W.H. Tapia, and L.J. Cayot. 2014. Demographic outcomes and ecosystem implications of Giant Tortoise reintroduction to Española Island, Galapagos. Plos One 9(10):e110742.</t>
  </si>
  <si>
    <t>Girondot, M., B. Mourrain, D. Chevallier, and M.H. Godfrey. 2021. Maturity of a giant: Age and size reaction norms for sexual maturity for Atlantic Leatherback Turtles. Marine Ecology 42:e12631.</t>
  </si>
  <si>
    <t>Graham, T. E. and V. H. Hutchison. 1969. Centenarian box turtles. International Turtle and Tortoise Society Journal 3(3):24–29.</t>
  </si>
  <si>
    <r>
      <t xml:space="preserve">Gramentz, D. 2011. </t>
    </r>
    <r>
      <rPr>
        <i/>
        <sz val="12"/>
        <color rgb="FF000000"/>
        <rFont val="Times New Roman"/>
        <family val="1"/>
      </rPr>
      <t>Lissemys punctata</t>
    </r>
    <r>
      <rPr>
        <sz val="12"/>
        <color rgb="FF000000"/>
        <rFont val="Times New Roman"/>
        <family val="1"/>
      </rPr>
      <t>. The Indian Flap-shelled Turtle. Edition Chimaira, Frankfurt au Main. 279 pp.</t>
    </r>
  </si>
  <si>
    <r>
      <t xml:space="preserve">Gress, G.C. 2009. </t>
    </r>
    <r>
      <rPr>
        <i/>
        <sz val="12"/>
        <color rgb="FF000000"/>
        <rFont val="Times New Roman"/>
        <family val="1"/>
      </rPr>
      <t>Glyptemys muhlenbergii</t>
    </r>
    <r>
      <rPr>
        <sz val="12"/>
        <color rgb="FF000000"/>
        <rFont val="Times New Roman"/>
        <family val="1"/>
      </rPr>
      <t xml:space="preserve"> (Bog Turtle). Longevity. Herpetological Review 40:334–335.</t>
    </r>
  </si>
  <si>
    <t>Hall, R.J., P.F.P. Henry, and C.M. Bunck. 1999. Fifty-year trends in a box turtle population in Maryland. Biological Conservation 88:165–172.</t>
  </si>
  <si>
    <r>
      <t xml:space="preserve">Hedrick, A., and J.B. Iverson. 2017.  </t>
    </r>
    <r>
      <rPr>
        <i/>
        <sz val="12"/>
        <color rgb="FF000000"/>
        <rFont val="Times New Roman"/>
        <family val="1"/>
      </rPr>
      <t>Kinosternon flavescens</t>
    </r>
    <r>
      <rPr>
        <sz val="12"/>
        <color rgb="FF000000"/>
        <rFont val="Times New Roman"/>
        <family val="1"/>
      </rPr>
      <t xml:space="preserve"> (Yellow Mud Turtle). Female growth and longevity.  Herpetological Review 48:178–179.</t>
    </r>
  </si>
  <si>
    <t xml:space="preserve">Hoekstra L.A., R.C. Weber, A.M. Bronokowski, and F.J. Janzen. 2018. Sex-specific growth, shape, and their impacts on the life history of a long-lived vertebrate. Evolutionary Ecology Research 19:639–657. </t>
  </si>
  <si>
    <r>
      <t xml:space="preserve">Hofstra, J. 2001. Haltung und Europa-Erstnachzucht der Bauchstreifen – Erdschildkröte </t>
    </r>
    <r>
      <rPr>
        <i/>
        <sz val="12"/>
        <color rgb="FF000000"/>
        <rFont val="Times New Roman"/>
        <family val="1"/>
      </rPr>
      <t>Rhinoclemmys funerea</t>
    </r>
    <r>
      <rPr>
        <sz val="12"/>
        <color rgb="FF000000"/>
        <rFont val="Times New Roman"/>
        <family val="1"/>
      </rPr>
      <t xml:space="preserve"> (Cope, 1875). Emys 8(5):4–17.</t>
    </r>
  </si>
  <si>
    <r>
      <t xml:space="preserve">Howeth, J.G. and W.S. Brown. 2011. </t>
    </r>
    <r>
      <rPr>
        <i/>
        <sz val="12"/>
        <color rgb="FF000000"/>
        <rFont val="Times New Roman"/>
        <family val="1"/>
      </rPr>
      <t>Terrapene coahuila</t>
    </r>
    <r>
      <rPr>
        <sz val="12"/>
        <color rgb="FF000000"/>
        <rFont val="Times New Roman"/>
        <family val="1"/>
      </rPr>
      <t xml:space="preserve"> Schmidt and Owens 1944 – Coahuilan Box Turtle. In: Rhodin, A.G.J., Pritchard, P.C.H., van Dijk, P.P., Saumure, R.A., Buhlmann, K.A., Iverson, J.B., and Mittermeier, R.A. (Eds.). Conservation Biology of Freshwater Turtles and Tortoises: A Compilation Project of the IUCN/SSC Tortoise and Freshwater Turtle Specialist Group. Chelonian Research Monographs No. 5, pp. 049.1–049.13.</t>
    </r>
  </si>
  <si>
    <t>Hughes, B. 1986. Longevity records of African captive amphibians and reptiles: Part I.  Introduction and species list I - amphibians and chelonians. Journal of the Herpetological Association of Africa 32:1–9.</t>
  </si>
  <si>
    <r>
      <t xml:space="preserve">Ihlow, F. J.E. Dawson, T. Hartmann, and S. Som. 2016. </t>
    </r>
    <r>
      <rPr>
        <i/>
        <sz val="12"/>
        <color rgb="FF000000"/>
        <rFont val="Times New Roman"/>
        <family val="1"/>
      </rPr>
      <t xml:space="preserve">Indotestudo elongata </t>
    </r>
    <r>
      <rPr>
        <sz val="12"/>
        <color rgb="FF000000"/>
        <rFont val="Times New Roman"/>
        <family val="1"/>
      </rPr>
      <t>(Blyth 1854) – Elongated Tortoise, Yellow-headed Tortoise, Yellow Tortoise. In: Rhodin, A.G.J., Pritchard, P.C.H., van Dijk, P.P., Saumure, R.A., Buhlmann, K.A., Iverson, J.B., and Mittermeier, R.A. (Eds.). Conservation Biology of Freshwater Turtles and Tortoises: A Compilation Project of the IUCN/SSC Tortoise and Freshwater Turtle Specialist Group. Chelonian Research Monographs 5(9):096.1–14.</t>
    </r>
  </si>
  <si>
    <r>
      <t xml:space="preserve">Iverson, J.B. 2014. </t>
    </r>
    <r>
      <rPr>
        <i/>
        <sz val="12"/>
        <color rgb="FF000000"/>
        <rFont val="Times New Roman"/>
        <family val="1"/>
      </rPr>
      <t>Rhinoclemmys melanosterna</t>
    </r>
    <r>
      <rPr>
        <sz val="12"/>
        <color rgb="FF000000"/>
        <rFont val="Times New Roman"/>
        <family val="1"/>
      </rPr>
      <t xml:space="preserve"> (Colombian Wood Turtle). Longevity. Herpetological Review 45:60.</t>
    </r>
  </si>
  <si>
    <r>
      <t xml:space="preserve">Iverson. J.B.  2016.  </t>
    </r>
    <r>
      <rPr>
        <i/>
        <sz val="12"/>
        <color rgb="FF000000"/>
        <rFont val="Times New Roman"/>
        <family val="1"/>
      </rPr>
      <t>Staurotypus triporcatus</t>
    </r>
    <r>
      <rPr>
        <sz val="12"/>
        <color rgb="FF000000"/>
        <rFont val="Times New Roman"/>
        <family val="1"/>
      </rPr>
      <t xml:space="preserve"> (Giant Musk Turtle). Longevity.  Herpetological Review 47:73.</t>
    </r>
  </si>
  <si>
    <r>
      <t>Iverson, J. B., G. R. Smith, and J. E. Rettig.  2019.  Body size, growth, and longevity in the Northern Map Turtle (</t>
    </r>
    <r>
      <rPr>
        <i/>
        <sz val="12"/>
        <color rgb="FF000000"/>
        <rFont val="Times New Roman"/>
        <family val="1"/>
      </rPr>
      <t>Graptemys geographica</t>
    </r>
    <r>
      <rPr>
        <sz val="12"/>
        <color rgb="FF000000"/>
        <rFont val="Times New Roman"/>
        <family val="1"/>
      </rPr>
      <t>) in Indiana.  Journal of Herpetology 53:297–301.</t>
    </r>
  </si>
  <si>
    <t>Jacobsen, G. 2011. France mourns an ageing lothario as tortoise dies, aged 146. Turtle and Tortoise Newsletter: 35.</t>
  </si>
  <si>
    <r>
      <t xml:space="preserve">Jackson, D.R. 2003. </t>
    </r>
    <r>
      <rPr>
        <i/>
        <sz val="12"/>
        <color rgb="FF000000"/>
        <rFont val="Times New Roman"/>
        <family val="1"/>
      </rPr>
      <t>Pseudemys concinna suwanniensis</t>
    </r>
    <r>
      <rPr>
        <sz val="12"/>
        <color rgb="FF000000"/>
        <rFont val="Times New Roman"/>
        <family val="1"/>
      </rPr>
      <t xml:space="preserve"> (Suwannee Cooter). Reproductive lifespan. Herpetological Review 34:363.</t>
    </r>
  </si>
  <si>
    <r>
      <t xml:space="preserve">Jackson, D.R. 2006. </t>
    </r>
    <r>
      <rPr>
        <i/>
        <sz val="12"/>
        <color rgb="FF000000"/>
        <rFont val="Times New Roman"/>
        <family val="1"/>
      </rPr>
      <t>Pseudemys nelsoni</t>
    </r>
    <r>
      <rPr>
        <sz val="12"/>
        <color rgb="FF000000"/>
        <rFont val="Times New Roman"/>
        <family val="1"/>
      </rPr>
      <t xml:space="preserve"> – Florida red-bellied turtle. In: Meylan, P.A. (Ed.). Biology and Conservation of Florida Turtles. Chelonian Research Monographs 3:313–324.</t>
    </r>
  </si>
  <si>
    <r>
      <t xml:space="preserve">Jablonski, A. and S. Jablonska. 1998. Egg-laying in the European Pond Turtle, </t>
    </r>
    <r>
      <rPr>
        <i/>
        <sz val="12"/>
        <color rgb="FF000000"/>
        <rFont val="Times New Roman"/>
        <family val="1"/>
      </rPr>
      <t>Emys orbicularis</t>
    </r>
    <r>
      <rPr>
        <sz val="12"/>
        <color rgb="FF000000"/>
        <rFont val="Times New Roman"/>
        <family val="1"/>
      </rPr>
      <t>, in Leczynsko-Wlodawoskie Lake District (East Poland). Proceedings of the EMYS symposium Dresden 96. Mertensiella 10:41–146.</t>
    </r>
  </si>
  <si>
    <r>
      <t>Johnson, E.W. 1984. A longevity record for the mud turtle (</t>
    </r>
    <r>
      <rPr>
        <i/>
        <sz val="12"/>
        <color rgb="FF000000"/>
        <rFont val="Times New Roman"/>
        <family val="1"/>
      </rPr>
      <t>Kinosternon bauri</t>
    </r>
    <r>
      <rPr>
        <sz val="12"/>
        <color rgb="FF000000"/>
        <rFont val="Times New Roman"/>
        <family val="1"/>
      </rPr>
      <t>). Proceedings of the Staten Island Institute of Arts and Sciences 33:47–48.</t>
    </r>
  </si>
  <si>
    <r>
      <t>Jones, R.L. 2017. Long-term trends in Ringed Sawback (</t>
    </r>
    <r>
      <rPr>
        <i/>
        <sz val="12"/>
        <color rgb="FF000000"/>
        <rFont val="Times New Roman"/>
        <family val="1"/>
      </rPr>
      <t>Graptemys oculifera</t>
    </r>
    <r>
      <rPr>
        <sz val="12"/>
        <color rgb="FF000000"/>
        <rFont val="Times New Roman"/>
        <family val="1"/>
      </rPr>
      <t>) growth, survivorship, sex ratios, and population sizes in the Pearl River, Mississippi. Chelonian Conservation and Biology 16:215–228.</t>
    </r>
  </si>
  <si>
    <r>
      <t xml:space="preserve">Jones, R.L. and W. Selman. 2009. </t>
    </r>
    <r>
      <rPr>
        <i/>
        <sz val="12"/>
        <color rgb="FF000000"/>
        <rFont val="Times New Roman"/>
        <family val="1"/>
      </rPr>
      <t>Graptemys oculifera</t>
    </r>
    <r>
      <rPr>
        <sz val="12"/>
        <color rgb="FF000000"/>
        <rFont val="Times New Roman"/>
        <family val="1"/>
      </rPr>
      <t xml:space="preserve"> (Baur 1890) – Ringed Map Turtle, Ringed Sawback. In: Rhodin, A.G.J., Pritchard, P.CH., van Dijk, P.P., Saumure, R.A., Buhlmann, K.A., Iverson, J.B., and Mittermeier, R.A. (Eds.). Conserva-tion Biology of Freshwater Turtles and Tortoises: A Compilation Project of the IUCN/SSC Tortoise and Freshwater Turtle Specialist Group. Chelonian Research Monographs 5:033:1–8.</t>
    </r>
  </si>
  <si>
    <r>
      <t xml:space="preserve">Judd, F.W. and J.C. McQueen. 1982. Notes on longevity of </t>
    </r>
    <r>
      <rPr>
        <i/>
        <sz val="12"/>
        <color rgb="FF000000"/>
        <rFont val="Times New Roman"/>
        <family val="1"/>
      </rPr>
      <t>Gopherus berlandieri</t>
    </r>
    <r>
      <rPr>
        <sz val="12"/>
        <color rgb="FF000000"/>
        <rFont val="Times New Roman"/>
        <family val="1"/>
      </rPr>
      <t xml:space="preserve"> (Testudinidae). Southwestern Naturalist 27:230–232.</t>
    </r>
  </si>
  <si>
    <t xml:space="preserve">Kashon, E.A.F. and B.E. Carlson. 2017. Consistently bolder turtles maintain higher body temperatures in the field but may experience greater predation risk. Behavioral Ecology and Sociobiology 72:9. </t>
  </si>
  <si>
    <t xml:space="preserve">Krysko, K.L., J.P. Burgess, M.R. Rochford, C.R. Gillette, D. Cueva, K.M. Enge, L.A. Somma, J.L. Stabile, D.C. Smith, J.A. Wasilewski, G.N. Kieckhefer III, M.C. Granatosky, and S.V. Nielsen. 2011. Verified non-indigenous amphibians and reptiles in Florida from 1863 though 2010: Outlining the invasion process and identifying invasion pathways and stages. Zootaxa 3028(1):1–64. </t>
  </si>
  <si>
    <r>
      <t xml:space="preserve">Lehmann, K. 1980. Zum Alter von </t>
    </r>
    <r>
      <rPr>
        <i/>
        <sz val="12"/>
        <color rgb="FF000000"/>
        <rFont val="Times New Roman"/>
        <family val="1"/>
      </rPr>
      <t>Testudo radiata</t>
    </r>
    <r>
      <rPr>
        <sz val="12"/>
        <color rgb="FF000000"/>
        <rFont val="Times New Roman"/>
        <family val="1"/>
      </rPr>
      <t xml:space="preserve"> in Gefangenschaft (Reptilia: Testudines: Testudinidae). Salamandra 16(1):61.</t>
    </r>
  </si>
  <si>
    <r>
      <t>Leuteritz, T.E.J. and Hofmeyr, M.D. 2023. Population structure and sexual dimorphism in a southern population of Tent Tortoises (</t>
    </r>
    <r>
      <rPr>
        <i/>
        <sz val="12"/>
        <color rgb="FF000000"/>
        <rFont val="Times New Roman"/>
        <family val="1"/>
      </rPr>
      <t>Psammobates tentorius tentorius</t>
    </r>
    <r>
      <rPr>
        <sz val="12"/>
        <color rgb="FF000000"/>
        <rFont val="Times New Roman"/>
        <family val="1"/>
      </rPr>
      <t>) of the Karoo, South Africa. Chelonian Conservation and Biology 22:xx-xx.</t>
    </r>
  </si>
  <si>
    <r>
      <t xml:space="preserve">Lewis, E.L. and J.B. Iverson. 2019. </t>
    </r>
    <r>
      <rPr>
        <i/>
        <sz val="12"/>
        <color rgb="FF000000"/>
        <rFont val="Times New Roman"/>
        <family val="1"/>
      </rPr>
      <t>Terrapene ornata</t>
    </r>
    <r>
      <rPr>
        <sz val="12"/>
        <color rgb="FF000000"/>
        <rFont val="Times New Roman"/>
        <family val="1"/>
      </rPr>
      <t xml:space="preserve"> (Ornate Box Turtle). Longevity. Herpetological Review 49:530.</t>
    </r>
  </si>
  <si>
    <t>Lindeman, P.V. 2013. The Map Turtle and Sawback Atlas: Ecology, Evolution, Distribution, and Conservation. University of Oklahoma Press, Norman, Oklahoma. 460 pp.</t>
  </si>
  <si>
    <r>
      <t>Litzgus, J.D. 2006.  Sex differences in longevity in the Spotted Turtle (</t>
    </r>
    <r>
      <rPr>
        <i/>
        <sz val="12"/>
        <color rgb="FF000000"/>
        <rFont val="Times New Roman"/>
        <family val="1"/>
      </rPr>
      <t>Clemmys guttata</t>
    </r>
    <r>
      <rPr>
        <sz val="12"/>
        <color rgb="FF000000"/>
        <rFont val="Times New Roman"/>
        <family val="1"/>
      </rPr>
      <t xml:space="preserve">).  Copeia 2006:281–288. </t>
    </r>
  </si>
  <si>
    <r>
      <t xml:space="preserve">Lu, W. and M. Hou. 2003. Description of captive breeding of </t>
    </r>
    <r>
      <rPr>
        <i/>
        <sz val="12"/>
        <color rgb="FF000000"/>
        <rFont val="Times New Roman"/>
        <family val="1"/>
      </rPr>
      <t>Cuora aurocapitata</t>
    </r>
    <r>
      <rPr>
        <sz val="12"/>
        <color rgb="FF000000"/>
        <rFont val="Times New Roman"/>
        <family val="1"/>
      </rPr>
      <t xml:space="preserve"> for 15 years. Sichuan Journal of Zoology 22(1):22–23, 48.</t>
    </r>
  </si>
  <si>
    <r>
      <t xml:space="preserve">Malonza, P.K., Korir, D.K. Nyamache, J.O., and Kyalo, S.N. 2023. Learning from the wild: Status of the introduced Pancake Tortoise </t>
    </r>
    <r>
      <rPr>
        <i/>
        <sz val="12"/>
        <color rgb="FF000000"/>
        <rFont val="Times New Roman"/>
        <family val="1"/>
      </rPr>
      <t>Malacochersus tornieri</t>
    </r>
    <r>
      <rPr>
        <sz val="12"/>
        <color rgb="FF000000"/>
        <rFont val="Times New Roman"/>
        <family val="1"/>
      </rPr>
      <t xml:space="preserve"> population in Tsavo East National Park, Kenya. Chelonian Conservation and Biology 22:xx-xx</t>
    </r>
  </si>
  <si>
    <t xml:space="preserve">Margaritoulis, D., C.J. Dean, G. Lourenço, A.L. Rees, and T.E. Rigall. 2020. Reproductive longevity of Loggerhead Sea Turtles nesting in Greece. Chelonian Conservation and Biology 19:133­–136.  </t>
  </si>
  <si>
    <r>
      <t>Martins, F.I. and F.L. Souza. 2008.</t>
    </r>
    <r>
      <rPr>
        <u/>
        <sz val="12"/>
        <color rgb="FF000000"/>
        <rFont val="Times New Roman"/>
        <family val="1"/>
      </rPr>
      <t xml:space="preserve"> </t>
    </r>
    <r>
      <rPr>
        <sz val="12"/>
        <color rgb="FF000000"/>
        <rFont val="Times New Roman"/>
        <family val="1"/>
      </rPr>
      <t xml:space="preserve">Estimates of growth of the Atlantic Rain Forest freshwater turtle </t>
    </r>
    <r>
      <rPr>
        <i/>
        <sz val="12"/>
        <color rgb="FF000000"/>
        <rFont val="Times New Roman"/>
        <family val="1"/>
      </rPr>
      <t>Hydromedusa maximiliani</t>
    </r>
    <r>
      <rPr>
        <sz val="12"/>
        <color rgb="FF000000"/>
        <rFont val="Times New Roman"/>
        <family val="1"/>
      </rPr>
      <t xml:space="preserve"> (Chelidae).  Journal of Herpetology 42:54-60.</t>
    </r>
  </si>
  <si>
    <t>McCormick, B. 1998. The Mexican Wood Turtle. Tortuga Gazette 34(1):1–2.</t>
  </si>
  <si>
    <r>
      <t>Medica, P.A., K.E. Nussear, T. C. Esque, and M.B. Saethre. 2012. Long-term growth of Desert Tortoises (</t>
    </r>
    <r>
      <rPr>
        <i/>
        <sz val="12"/>
        <color rgb="FF000000"/>
        <rFont val="Times New Roman"/>
        <family val="1"/>
      </rPr>
      <t>Gopherus agassizii</t>
    </r>
    <r>
      <rPr>
        <sz val="12"/>
        <color rgb="FF000000"/>
        <rFont val="Times New Roman"/>
        <family val="1"/>
      </rPr>
      <t xml:space="preserve">) in a southern Nevada population. Journal of Herpetology 46:213–220. </t>
    </r>
  </si>
  <si>
    <r>
      <t xml:space="preserve">Meek, R. 1985. Aspects of the ecology of </t>
    </r>
    <r>
      <rPr>
        <i/>
        <sz val="12"/>
        <color rgb="FF000000"/>
        <rFont val="Times New Roman"/>
        <family val="1"/>
      </rPr>
      <t xml:space="preserve">Testudo hermanni </t>
    </r>
    <r>
      <rPr>
        <sz val="12"/>
        <color rgb="FF000000"/>
        <rFont val="Times New Roman"/>
        <family val="1"/>
      </rPr>
      <t>in southern Yugoslavia. British Journal of Herpetology 6:437–445.</t>
    </r>
  </si>
  <si>
    <t>Meek, R. (1985). Observations on the amphibians and reptiles of southern Morocco. Bulletin of the British Herpetological Society (12): 28–36.</t>
  </si>
  <si>
    <r>
      <t xml:space="preserve">Mendyk, R.W. and D.C. Smith. 2016. </t>
    </r>
    <r>
      <rPr>
        <i/>
        <sz val="12"/>
        <color rgb="FF000000"/>
        <rFont val="Times New Roman"/>
        <family val="1"/>
      </rPr>
      <t>Dermatemys mawii</t>
    </r>
    <r>
      <rPr>
        <sz val="12"/>
        <color rgb="FF000000"/>
        <rFont val="Times New Roman"/>
        <family val="1"/>
      </rPr>
      <t xml:space="preserve"> Gray, 1847. Longevity. Mesoamerican Herpetology 3(2):477–478.</t>
    </r>
  </si>
  <si>
    <t>Mertens, R. 1970. Über die Lebensdauer einger Amphibien und Reptilien in Gefangenschaft. Der Zoologische Garten 39(1/6):193–209.</t>
  </si>
  <si>
    <r>
      <t xml:space="preserve">Methner, K. 1986. Zum Alter von </t>
    </r>
    <r>
      <rPr>
        <i/>
        <sz val="12"/>
        <color rgb="FF000000"/>
        <rFont val="Times New Roman"/>
        <family val="1"/>
      </rPr>
      <t>Testudo (Asterochelys) radiata</t>
    </r>
    <r>
      <rPr>
        <sz val="12"/>
        <color rgb="FF000000"/>
        <rFont val="Times New Roman"/>
        <family val="1"/>
      </rPr>
      <t xml:space="preserve"> in Gefangenschaft II (Testudines: Testudinidae). Salamandra 22(4):281–282.</t>
    </r>
  </si>
  <si>
    <r>
      <t xml:space="preserve">Meylan, A. and A. Redlow. 2006. </t>
    </r>
    <r>
      <rPr>
        <i/>
        <sz val="12"/>
        <color rgb="FF000000"/>
        <rFont val="Times New Roman"/>
        <family val="1"/>
      </rPr>
      <t>Eretmochelys imbricata</t>
    </r>
    <r>
      <rPr>
        <sz val="12"/>
        <color rgb="FF000000"/>
        <rFont val="Times New Roman"/>
        <family val="1"/>
      </rPr>
      <t xml:space="preserve"> – Hawksbill Turtle.  Pp. 105–127. In: Meylan, P.A. (Ed.), Biology and Conservation of Florida Turtles. Chelonian Research Foundation, Lunenberg, Massachusetts. </t>
    </r>
  </si>
  <si>
    <t>Mittermeier, R.A. 2021. Walter Sachsse (1932-2020). The Tortoise 3(2):156–158.</t>
  </si>
  <si>
    <r>
      <t>Miller, J.K. 2001. Escaping senescence: Demographic data for the Three-toed Box Turtle (</t>
    </r>
    <r>
      <rPr>
        <i/>
        <sz val="12"/>
        <color rgb="FF000000"/>
        <rFont val="Times New Roman"/>
        <family val="1"/>
      </rPr>
      <t>Terrapene carolina triunguis</t>
    </r>
    <r>
      <rPr>
        <sz val="12"/>
        <color rgb="FF000000"/>
        <rFont val="Times New Roman"/>
        <family val="1"/>
      </rPr>
      <t xml:space="preserve">). Experimental Gerontology 36:829-832. </t>
    </r>
  </si>
  <si>
    <r>
      <t xml:space="preserve">Munscher, E., K. Campbell, J.B. Hauge, T. Hootman, W. Osborne, B.P. Butterfield, and A. Walde. 2020. </t>
    </r>
    <r>
      <rPr>
        <i/>
        <sz val="12"/>
        <color rgb="FF000000"/>
        <rFont val="Times New Roman"/>
        <family val="1"/>
      </rPr>
      <t>Pseudemys floridana peninsularis</t>
    </r>
    <r>
      <rPr>
        <sz val="12"/>
        <color rgb="FF000000"/>
        <rFont val="Times New Roman"/>
        <family val="1"/>
      </rPr>
      <t xml:space="preserve"> (Peninsular Cooter) and </t>
    </r>
    <r>
      <rPr>
        <i/>
        <sz val="12"/>
        <color rgb="FF000000"/>
        <rFont val="Times New Roman"/>
        <family val="1"/>
      </rPr>
      <t>Pseudemys nelsoni</t>
    </r>
    <r>
      <rPr>
        <sz val="12"/>
        <color rgb="FF000000"/>
        <rFont val="Times New Roman"/>
        <family val="1"/>
      </rPr>
      <t xml:space="preserve"> (Florida Red-bellied Turtle). Longevity. Herpetological Review 51:111–113.</t>
    </r>
  </si>
  <si>
    <t>Munscher, E., M. Skibsted, J.B. Hauge, T. Hootman, W. Osborne, B.P. Butterfield, and A.D. Walde. 2023. Sternotherus minor (Loggerhead Musk Turtle). Longevity in the wild. Herpetological Review 54:454–455.</t>
  </si>
  <si>
    <t>Murphy, J.B. 2016. Conservation initiatives and studies of tortoises, turtles, and terrapins mostly in zoos and aquariums. Herpetological Review 47:335–­349.</t>
  </si>
  <si>
    <r>
      <t xml:space="preserve">Nichols, J.T. 1939. Data on size, growth and age in the Box Turtle, </t>
    </r>
    <r>
      <rPr>
        <i/>
        <sz val="12"/>
        <color rgb="FF000000"/>
        <rFont val="Times New Roman"/>
        <family val="1"/>
      </rPr>
      <t>Terrapene carolina</t>
    </r>
    <r>
      <rPr>
        <sz val="12"/>
        <color rgb="FF000000"/>
        <rFont val="Times New Roman"/>
        <family val="1"/>
      </rPr>
      <t>. Copeia 1939:14–20.</t>
    </r>
  </si>
  <si>
    <t>Nilsen, A.J. 2006. Harriet – mit 175 jahren das wohl älteste Wirbeltier der Erde. Marginata 8:44–45.</t>
  </si>
  <si>
    <t>Oliver, J.A. 1955. The Natural History of North American Amphibians and Reptiles. D. van Nostrand Co., Princeton, New Jersey. 359 pp.</t>
  </si>
  <si>
    <r>
      <t xml:space="preserve">Oliver, L. R. 2023. </t>
    </r>
    <r>
      <rPr>
        <i/>
        <sz val="12"/>
        <color rgb="FF000000"/>
        <rFont val="Times New Roman"/>
        <family val="1"/>
      </rPr>
      <t>Terrapene carolina</t>
    </r>
    <r>
      <rPr>
        <sz val="12"/>
        <color rgb="FF000000"/>
        <rFont val="Times New Roman"/>
        <family val="1"/>
      </rPr>
      <t xml:space="preserve"> (Eastern Box Turtle). Longevity. Herpetological Review 54:457–458.</t>
    </r>
  </si>
  <si>
    <t>Pedrono, M. and A. Clausen 2018. Twilight of the Angonoka: Biology and Conservation of the World’s Rarest Tortoise. Natural History Publications, Kota Kinabalu, Borneo. 184 pp.</t>
  </si>
  <si>
    <r>
      <t>Philippen, H.-D. 2008. “Il Gigante” – die grösse lebende Breitrandschildkröte (</t>
    </r>
    <r>
      <rPr>
        <i/>
        <sz val="12"/>
        <color rgb="FF000000"/>
        <rFont val="Times New Roman"/>
        <family val="1"/>
      </rPr>
      <t>Testudo marginata</t>
    </r>
    <r>
      <rPr>
        <sz val="12"/>
        <color rgb="FF000000"/>
        <rFont val="Times New Roman"/>
        <family val="1"/>
      </rPr>
      <t>). Marginata 20:57–59.</t>
    </r>
  </si>
  <si>
    <r>
      <t>Pierlioni, A. 2019. RAKSASA, The Indonesian Giant – A new record size Spiny Turtle (</t>
    </r>
    <r>
      <rPr>
        <i/>
        <sz val="12"/>
        <color rgb="FF000000"/>
        <rFont val="Times New Roman"/>
        <family val="1"/>
      </rPr>
      <t>Heosemys spinosa</t>
    </r>
    <r>
      <rPr>
        <sz val="12"/>
        <color rgb="FF000000"/>
        <rFont val="Times New Roman"/>
        <family val="1"/>
      </rPr>
      <t xml:space="preserve">). Radiata 28(1):66–67.  </t>
    </r>
  </si>
  <si>
    <t>Pope, C.H. 1939. Turtles of the United States and Canada. Knopf, New York. 343 pp.</t>
  </si>
  <si>
    <r>
      <t xml:space="preserve">Rafeliarisoa, T.H., R.C.J. Walker, and E.E. Louis. 2013. Decline in the range and population density of Radiated Tortoises, </t>
    </r>
    <r>
      <rPr>
        <i/>
        <sz val="12"/>
        <color rgb="FF000000"/>
        <rFont val="Times New Roman"/>
        <family val="1"/>
      </rPr>
      <t>Astrochelys radiata</t>
    </r>
    <r>
      <rPr>
        <sz val="12"/>
        <color rgb="FF000000"/>
        <rFont val="Times New Roman"/>
        <family val="1"/>
      </rPr>
      <t xml:space="preserve">, in southern Madagascar. In: Castellano, C.M., Rhodin, A.G.J., Ogle, M., Mittermeier, R.A., Randriamahazo, H., Hudson, R. and Lewis, R.E. (Eds.). Turtles on the Brink in Madagascar: Proceedings of Two Workshops on the Status, Conservation, and Biology of Malagasy Tortoises and Freshwater Turtles. Chelonian Research Monographs 6:83–89. </t>
    </r>
  </si>
  <si>
    <t>Rose, F.L. and F.W. Judd. 2014. The Texas Tortoise: A Natural History. University of Oklahoma Press, Norman. Oklahoma. 189 pp.</t>
  </si>
  <si>
    <r>
      <t xml:space="preserve">Ruther, E., B. DeGregorio, J. Sperry, and S. Sekscienski. 2017. </t>
    </r>
    <r>
      <rPr>
        <i/>
        <sz val="12"/>
        <color rgb="FF000000"/>
        <rFont val="Times New Roman"/>
        <family val="1"/>
      </rPr>
      <t>Clemmys guttata</t>
    </r>
    <r>
      <rPr>
        <sz val="12"/>
        <color rgb="FF000000"/>
        <rFont val="Times New Roman"/>
        <family val="1"/>
      </rPr>
      <t xml:space="preserve"> (Spotted Turtle). Longevity. Herpetological Review 48:834.</t>
    </r>
  </si>
  <si>
    <t>Sabath, N., Y. Itescu, A. Feldman, S. Meiri, I. Mayrose, and N. Valenzuela. 2016. Sex determination, longevity, and the birth and death of reptilian species. Ecology and Evolution 6(15):5207–5220.</t>
  </si>
  <si>
    <t>Schneck, J. 1886. Longevity of turtles. American Naturalist 20:897.</t>
  </si>
  <si>
    <r>
      <t xml:space="preserve">Schmid, J.R., H.R. Frandsen, P.H. Dutton, A. Frey, and D.J. Shaver. 2020. </t>
    </r>
    <r>
      <rPr>
        <i/>
        <sz val="12"/>
        <color rgb="FF000000"/>
        <rFont val="Times New Roman"/>
        <family val="1"/>
      </rPr>
      <t xml:space="preserve">Lepidochelys kempii </t>
    </r>
    <r>
      <rPr>
        <sz val="12"/>
        <color rgb="FF000000"/>
        <rFont val="Times New Roman"/>
        <family val="1"/>
      </rPr>
      <t>(Kemp’s Ridley Sea Turtle). Life history. Herpetological Review 51:109–110.</t>
    </r>
  </si>
  <si>
    <t>Schwartz, E.R. 2000. Update on permanent residency, persistence, and longevity in a 35-year study of a population of Three-toed Box Turtles in Missouri. Chelonian Conservation and Biology 3(4):737–738.</t>
  </si>
  <si>
    <t>Scott, R., R. Marsh, and G.C. Hayes. 2012. Life in the really slow lane: Loggerhead Turtles mature late relative to other reptiles. Functional Ecology 26:227–235.</t>
  </si>
  <si>
    <r>
      <t>Seburn, D. 2018. Record longevity of a Spotted Turtle (</t>
    </r>
    <r>
      <rPr>
        <i/>
        <sz val="12"/>
        <color rgb="FF000000"/>
        <rFont val="Times New Roman"/>
        <family val="1"/>
      </rPr>
      <t>Clemmys guttata</t>
    </r>
    <r>
      <rPr>
        <sz val="12"/>
        <color rgb="FF000000"/>
        <rFont val="Times New Roman"/>
        <family val="1"/>
      </rPr>
      <t>). The Canadian Field-Naturalist 132(1):18–19.</t>
    </r>
  </si>
  <si>
    <r>
      <t xml:space="preserve">Seeger, B. 2009. A non-standard report on the husbandry of Boettger’s Tortoise, </t>
    </r>
    <r>
      <rPr>
        <i/>
        <sz val="12"/>
        <color rgb="FF000000"/>
        <rFont val="Times New Roman"/>
        <family val="1"/>
      </rPr>
      <t>Testudo hermanni boettgeri</t>
    </r>
    <r>
      <rPr>
        <sz val="12"/>
        <color rgb="FF000000"/>
        <rFont val="Times New Roman"/>
        <family val="1"/>
      </rPr>
      <t xml:space="preserve">. Radiata 18(1):16–27. </t>
    </r>
  </si>
  <si>
    <r>
      <t xml:space="preserve">Seidel, M.E. 2003. </t>
    </r>
    <r>
      <rPr>
        <i/>
        <sz val="12"/>
        <color rgb="FF000000"/>
        <rFont val="Times New Roman"/>
        <family val="1"/>
      </rPr>
      <t>Trachemys decussata angusta</t>
    </r>
    <r>
      <rPr>
        <sz val="12"/>
        <color rgb="FF000000"/>
        <rFont val="Times New Roman"/>
        <family val="1"/>
      </rPr>
      <t xml:space="preserve"> (North Antillean Slider). Longevity. Herpetological Review 34:363–364. </t>
    </r>
  </si>
  <si>
    <r>
      <t xml:space="preserve">Shamblin, B.M., B.L. Ondich, J.I. Richardson, C.A. Ruckdeschel, R. Bell, D. Hoffman, NR. Preston, M.G. Dodd, and C.J. Nairn. 2021. </t>
    </r>
    <r>
      <rPr>
        <i/>
        <sz val="12"/>
        <color rgb="FF000000"/>
        <rFont val="Times New Roman"/>
        <family val="1"/>
      </rPr>
      <t>Caretta caretta</t>
    </r>
    <r>
      <rPr>
        <sz val="12"/>
        <color rgb="FF000000"/>
        <rFont val="Times New Roman"/>
        <family val="1"/>
      </rPr>
      <t xml:space="preserve"> (Loggerhead Sea Turtle). Reproductive longevity. Herpetological Review 52:124–125.  </t>
    </r>
  </si>
  <si>
    <t>Slavens, F.L. and K. Slavens. 2000. Reptiles and amphibians in captivity. Breeding - longevity and inventory, current January 1, 1999. Slavewave, Seattle, Washington. 400 pp.</t>
  </si>
  <si>
    <t>Snider, A.T. and J.K. Bowler. 1992. Longevity of reptiles and amphibians in North American collections. Second Edition. Society for the Study of Amphibians and Reptiles, Herpetological Circular 21:1–40.</t>
  </si>
  <si>
    <t>Stark, G., K. Tamar, Y. Itescu, A. Feldman, and S. Meiri. 2018. Cold and isolated ectotherms: drivers of reptilian longevity. Biological Journal of the Linnean Society 125:730–740.</t>
  </si>
  <si>
    <t>Stickel, L.F. 1978. Changes in a Box Turtle population during three decades. Copeia 1978:221–225.</t>
  </si>
  <si>
    <t>Tacutu, R. , T. Craig, A. Budovsky A., D. Wuttke, G. Lehmann, D. Taranukha, J. Costa, V.E. Fraifeld, and J.P. de Magalhaes. 2013. Human Ageing Genomic Resources: Integrated databases and tools for the biology and genetics of ageing. Nucleic Acids Research 41:D1027–D1033. [with Link to AnAge data base]</t>
  </si>
  <si>
    <t>Todd, C.S. 2000. Eastern Box Turtle assessment. Maine Department of Inland Fisheries and Wildlife Division. 41 pp.</t>
  </si>
  <si>
    <r>
      <t xml:space="preserve">Vyas, R. 2011. Record size of Indian Star Tortoise, </t>
    </r>
    <r>
      <rPr>
        <i/>
        <sz val="12"/>
        <color rgb="FF000000"/>
        <rFont val="Times New Roman"/>
        <family val="1"/>
      </rPr>
      <t>Geochelone elegans</t>
    </r>
    <r>
      <rPr>
        <sz val="12"/>
        <color rgb="FF000000"/>
        <rFont val="Times New Roman"/>
        <family val="1"/>
      </rPr>
      <t xml:space="preserve"> (Schoepff, 1795). Russian Journal of Herpetology 18:47–50.</t>
    </r>
  </si>
  <si>
    <r>
      <t xml:space="preserve">Williams, E.C. 1961. A study of the Box Turtle, </t>
    </r>
    <r>
      <rPr>
        <i/>
        <sz val="12"/>
        <color rgb="FF000000"/>
        <rFont val="Times New Roman"/>
        <family val="1"/>
      </rPr>
      <t>Terrapene carolina carolina</t>
    </r>
    <r>
      <rPr>
        <sz val="12"/>
        <color rgb="FF000000"/>
        <rFont val="Times New Roman"/>
        <family val="1"/>
      </rPr>
      <t xml:space="preserve"> (L.), population in Allee Memorial Woods. Proceedings of the Indiana Academy of Sciences 71:399–400.</t>
    </r>
  </si>
  <si>
    <r>
      <t>Wood, R.C. 2014. Natural history of Mangrove Terrapins (</t>
    </r>
    <r>
      <rPr>
        <i/>
        <sz val="12"/>
        <color rgb="FF000000"/>
        <rFont val="Times New Roman"/>
        <family val="1"/>
      </rPr>
      <t>Malaclemys terrapin rhizophorarum</t>
    </r>
    <r>
      <rPr>
        <sz val="12"/>
        <color rgb="FF000000"/>
        <rFont val="Times New Roman"/>
        <family val="1"/>
      </rPr>
      <t xml:space="preserve">) in Key West National Wildlife Refuge, FL, USA. Abstract, Turtle Survival Alliance Annual Meeting, Orlando Florida. </t>
    </r>
  </si>
  <si>
    <t xml:space="preserve">Zug, G.R. and G.H. Balazs. 1985. Skeletochronological age estimates for Hawaiian Green Turtles. Marine Turtle Newsletter 33:9­–10. </t>
  </si>
  <si>
    <t>Related references not cited:</t>
  </si>
  <si>
    <t xml:space="preserve">Avens, L. and M.L. Snover. 2013. Age and age determination in sea turtles. Pp. 97–xxx. In: Wyneken, J., K.J. Lohmann, and J.A. Musick. (Eds.). The Biology of Sea Turtles. Volume III. CRC Press, Boca Raton, Florida. </t>
  </si>
  <si>
    <t>Bowler, J.K. 1975. Longevity records of reptiles and amphibians in North American collections as of 1 November, 1975. Society for the Study of Amphibians and Reptiles, Miscellaneous Publications, Herpetological Circular 6:1–32.</t>
  </si>
  <si>
    <r>
      <t xml:space="preserve">Buskirk, J. 2001. The Mexican Painted Turtle, </t>
    </r>
    <r>
      <rPr>
        <i/>
        <sz val="12"/>
        <color rgb="FF000000"/>
        <rFont val="Times New Roman"/>
        <family val="1"/>
      </rPr>
      <t>Rhinoclemmys pulcherrima</t>
    </r>
    <r>
      <rPr>
        <sz val="12"/>
        <color rgb="FF000000"/>
        <rFont val="Times New Roman"/>
        <family val="1"/>
      </rPr>
      <t xml:space="preserve">. Emys 8(2):20–28.  </t>
    </r>
  </si>
  <si>
    <r>
      <t>Congdon, J.D., R.D. Nagle, O.M. Kinney, and R.C. van Loben Sels. 2001. Hypotheses of aging in a long-lived vertebrate, Blanding’s Turtle (</t>
    </r>
    <r>
      <rPr>
        <i/>
        <sz val="12"/>
        <color rgb="FF000000"/>
        <rFont val="Times New Roman"/>
        <family val="1"/>
      </rPr>
      <t>Emydoidea blandingii</t>
    </r>
    <r>
      <rPr>
        <sz val="12"/>
        <color rgb="FF000000"/>
        <rFont val="Times New Roman"/>
        <family val="1"/>
      </rPr>
      <t>). Experimental Gerontology 36:813–827.</t>
    </r>
  </si>
  <si>
    <t>Congdon, J.D., J.W. Gibbons, R.J. Brooks, N. Rollinson, and R.N. Tsaliagos. 2013. Indeterminate growth in long-lived freshwater turtles as a component of individual fitness. Evolutionary Ecology 27:445-459.</t>
  </si>
  <si>
    <r>
      <t xml:space="preserve">Curtin, A.J., G.R. Zug, P.A. Medica, and J.R. Spotila. 2008. Assessing age in the Desert Tortoise </t>
    </r>
    <r>
      <rPr>
        <i/>
        <sz val="12"/>
        <color rgb="FF000000"/>
        <rFont val="Times New Roman"/>
        <family val="1"/>
      </rPr>
      <t>Gopherus agassizii</t>
    </r>
    <r>
      <rPr>
        <sz val="12"/>
        <color rgb="FF000000"/>
        <rFont val="Times New Roman"/>
        <family val="1"/>
      </rPr>
      <t>: Testing skeletochrononology with individuals of known age.  Endangered Species Research 5:21–27.</t>
    </r>
  </si>
  <si>
    <t>Galbraith, D.A., and R.J. Brooks. Age estimates for snapping turtles. Journal of Wildlife Management 53:502–508.</t>
  </si>
  <si>
    <t>Gibbons, J.W. 1976. Aging phenomena in reptiles. Pp. 454–475. In: Elias, M.F., B.E. Eleftheriou, and P.K. Elias (Eds.). Special Review of Experimental Aging Research. Experimental Aging Research, Inc., Bar Harbor Maine.</t>
  </si>
  <si>
    <t xml:space="preserve">Gibbons, J.W. and R.D. Semlitsch. 1982. Survivorship and longevity of a long-lived vertebrate species: How long do turtle live? Journal of Animal Ecology 51:523–527. </t>
  </si>
  <si>
    <r>
      <t xml:space="preserve">Iverson, J.B. and E.L. Lewis.  2019.  </t>
    </r>
    <r>
      <rPr>
        <i/>
        <sz val="12"/>
        <color rgb="FF000000"/>
        <rFont val="Times New Roman"/>
        <family val="1"/>
      </rPr>
      <t>Chelydra serpentina</t>
    </r>
    <r>
      <rPr>
        <sz val="12"/>
        <color rgb="FF000000"/>
        <rFont val="Times New Roman"/>
        <family val="1"/>
      </rPr>
      <t xml:space="preserve"> (Common Snapping Turtle). Growth, maturity, and longevity. Herpetological Review  50:119–120.</t>
    </r>
  </si>
  <si>
    <t>Keevil, M.G., R.J. Brooks, and J.D. Litzgus. 2018. Post-catastrophe patterns of abundance and survival reveal no evidence of population recovery in a long-lived animal. Ecosphere 9:e02396.</t>
  </si>
  <si>
    <t xml:space="preserve">Labat-Robert, J. and L. Robert. 2015. Longevity and aging. Mechanisms and perspectives. Pathologie Biolgie 63:272–276. </t>
  </si>
  <si>
    <t>Moll, E.O. 2001. A fortieth for Clementine. Sonoran Herpetologist 14(5):50–51. [2001 pers. comm. to JBI still alive at 41 years]</t>
  </si>
  <si>
    <t xml:space="preserve">Nigrelli, R.F. 1954. Some longevity records of vertebrates. Transactions of the New York Academy of Sciences 16(6):296–299.  </t>
  </si>
  <si>
    <t xml:space="preserve">Quesada, V. et al. 2018. Giant tortoise genomes provide insights into longevity and age-related disease. Nature Ecology and Evolution </t>
  </si>
  <si>
    <t>Ricklefs, R.E. 2010. Life-history connections to rates of aging in terrestrial vertebrates. Proceedings of the National Academy of Sciences 107(22):10314–10319.</t>
  </si>
  <si>
    <t xml:space="preserve">Scharf, I., A. Feldman, M. Novosolov, D. Poncheira-Donoso, I. Das, M. Bohm, P. Uetz, O. Torres-Carvajal, A. Bauer, U. Roll, and S. Meiri. 2015. Late bloomers and baby boomers: ecological drivers of squamates and the tuatara. Global Ecology and Biogeography 24:396–405. </t>
  </si>
  <si>
    <t>Staub, N.L. 2016. The age of plethodontid salamanders: A short review of longevity. Copeia 104:118­–123.  [Good review of models]</t>
  </si>
  <si>
    <r>
      <t xml:space="preserve">Stewart, K. and C. Johnson. 2006. </t>
    </r>
    <r>
      <rPr>
        <i/>
        <sz val="12"/>
        <color rgb="FF000000"/>
        <rFont val="Times New Roman"/>
        <family val="1"/>
      </rPr>
      <t>Dermochelys coriacea</t>
    </r>
    <r>
      <rPr>
        <sz val="12"/>
        <color rgb="FF000000"/>
        <rFont val="Times New Roman"/>
        <family val="1"/>
      </rPr>
      <t xml:space="preserve"> – leatherback sea turtle. In: Meylan, P.A. (Ed.). Biology and Conservation of Florida Turtles. Chelonian Research Monographs 3:144–157. (adult recap)</t>
    </r>
  </si>
  <si>
    <r>
      <t>Turner Tomaszewicz, C.N., L. Avens, J.A. Seminoff, C.J. Limpus, N.N. FitzSimmons, M.L. Guinea, K.L. Pendoley, P.A. Whitlock, A. Vitenbergs, S.D. Whiting, and AD. Tucker. 2022. Age-specific growth and maturity estimate for the Flatback Sea Turtle (</t>
    </r>
    <r>
      <rPr>
        <i/>
        <sz val="12"/>
        <color rgb="FF000000"/>
        <rFont val="Times New Roman"/>
        <family val="1"/>
      </rPr>
      <t>Natator depressus</t>
    </r>
    <r>
      <rPr>
        <sz val="12"/>
        <color rgb="FF000000"/>
        <rFont val="Times New Roman"/>
        <family val="1"/>
      </rPr>
      <t>) by skeletochronology. PLoS ONE 17(7):e0271048.</t>
    </r>
  </si>
  <si>
    <r>
      <t>Williams, E.C. and W.S. Parker. 1987. A long-term study of a Box Turtle (</t>
    </r>
    <r>
      <rPr>
        <i/>
        <sz val="12"/>
        <color rgb="FF000000"/>
        <rFont val="Times New Roman"/>
        <family val="1"/>
      </rPr>
      <t>Terrapene carolina</t>
    </r>
    <r>
      <rPr>
        <sz val="12"/>
        <color rgb="FF000000"/>
        <rFont val="Times New Roman"/>
        <family val="1"/>
      </rPr>
      <t>) population at Allee Memorial Woods, Indiana, with emphasis on survivorship. Herpetologica 43:328–335.</t>
    </r>
  </si>
  <si>
    <t>Wilson, D.S., C.R. Tracy, C.R. Tracy. 2003. Estimating age of turtles from growth rings: a critical evaluation of the technique. Herpetologica 59(2):178–194.</t>
  </si>
  <si>
    <t>Zappalorti, R.T. 2022. Bogged down and nowhere to go. The Tortoise 3(3):56-65.</t>
  </si>
  <si>
    <t>Zug, G.R. 1991. Age determination in turtles. SSAR Herpetol. Circ.20:1-28.</t>
  </si>
  <si>
    <t>Reinke, B.A., H. Cayuela, F.J. Janzen, J.-F. Lemaître, J.-M. Gaillard, A.M. Lawing, J.B. Iverson., …. A.M. Bronikowski, and David A. W. Miller. 2022. Diverse aging rates in ectothermic tetrapods provide insights for the evolution of aging and longevity. Science 376(6600):1459-1466.</t>
  </si>
  <si>
    <t>Nagle, R.D., T.J. Russell, C.J. Grant, M. Inerst, and S.J. Strawser. 2023. Natal philoparty in a ling-lived species: The return of reproductive river turtles marked and released as hatchlings. Diversity 15:444.</t>
  </si>
  <si>
    <t xml:space="preserve">    Turtle Taxonomy Working Group (A. G. J. Rhodin, J. B. Iverson, R. Bour, U. Fritz, A. Georges, H. B. Shaffer, and P. P. van Dijk).  2021.  Turtles of the World: Annotated checklist  and atlas of taxonomy, synonymy, distribution, and conservation status (9th edition).  IN: Rhodin, A, G. J., J. B. Iverson, P. P. van Dijk, C. B. Stanford, E.V. Goode, K. A. Buhlmann, and R. A. Mittermeier (Editors), Conservation Biology of Freshwater Turtles and Tortoises.  Chelonian Research Monographs 8:1-472.</t>
  </si>
  <si>
    <t>SW Nebraska</t>
  </si>
  <si>
    <t>Iverson (2022; Herpetol. Rev. 53:669–670).</t>
  </si>
  <si>
    <t>N. Texas</t>
  </si>
  <si>
    <t>Ewert in Iverson (2022; Herpetol. Rev. 53:669–670).</t>
  </si>
  <si>
    <t>J. F. Berry, IN: Iverson (2022; Herpetol. Rev. 53:669–670).</t>
  </si>
  <si>
    <t>Iverson (2022; Herpetol. Rev. 53:307–308).</t>
  </si>
  <si>
    <t>Moll (1973; Herpetologica 27:307–318), IN: Iverson (2022; Herpetol. Rev. 53:307–308).</t>
  </si>
  <si>
    <t>35.7/31.5</t>
  </si>
  <si>
    <t>Arkansas/Louisiana (lumped)</t>
  </si>
  <si>
    <t>domerguei</t>
  </si>
  <si>
    <t>kazachstanica</t>
  </si>
  <si>
    <t>atra</t>
  </si>
  <si>
    <t>worrelli</t>
  </si>
  <si>
    <t>kohni</t>
  </si>
  <si>
    <t>rhizophorarum</t>
  </si>
  <si>
    <t>terrapin or centrata</t>
  </si>
  <si>
    <t>edwardmolli</t>
  </si>
  <si>
    <t>captive (China)</t>
  </si>
  <si>
    <t>leprosa/saharica</t>
  </si>
  <si>
    <t>saharica</t>
  </si>
  <si>
    <t>"French West Africa"</t>
  </si>
  <si>
    <t>indopeninsularis</t>
  </si>
  <si>
    <t>flaviventer</t>
  </si>
  <si>
    <t>circumdata</t>
  </si>
  <si>
    <t>parietalis</t>
  </si>
  <si>
    <t>Cyclemys" dentata"</t>
  </si>
  <si>
    <t>Coahuila</t>
  </si>
  <si>
    <t>Sonora</t>
  </si>
  <si>
    <t>CL vs BM in turtles</t>
  </si>
  <si>
    <t>NR = sample size not reported explicitly; only those equations found statistically significant are included.</t>
  </si>
  <si>
    <t>Samples based on PL instead of CL are flagged yellow</t>
  </si>
  <si>
    <t>Total sample = 95 species</t>
  </si>
  <si>
    <t>Sample size</t>
  </si>
  <si>
    <t>increments</t>
  </si>
  <si>
    <t>equation</t>
  </si>
  <si>
    <t>cm, kg</t>
  </si>
  <si>
    <t>BM = 0.000163*CL^2.88</t>
  </si>
  <si>
    <t>Georges and Kennett 1989</t>
  </si>
  <si>
    <t>BM = 0.47*CL^2.80</t>
  </si>
  <si>
    <t>Arango-Lozcano et al. 2017</t>
  </si>
  <si>
    <t>cm, g</t>
  </si>
  <si>
    <t>BM = 0.1837*CL^3.064</t>
  </si>
  <si>
    <t>Lagler and Applegate 1943 (Iverson 1984)</t>
  </si>
  <si>
    <t>BM = 0.0034*CL^2.93</t>
  </si>
  <si>
    <t>Lagler and Applegate 1943 recalulated by Mosimann in Dunson (1967); units apparently incorrect</t>
  </si>
  <si>
    <t>NY and Michigan</t>
  </si>
  <si>
    <t>BM = 0.00046*CL^2.80</t>
  </si>
  <si>
    <t>Yntema 1970, but units apparently incorrect</t>
  </si>
  <si>
    <t>42 females and 29 juveniles</t>
  </si>
  <si>
    <t>mm, g</t>
  </si>
  <si>
    <t>BM = 0.0002045*CL^3.026</t>
  </si>
  <si>
    <t>111 males and 29 juveniles</t>
  </si>
  <si>
    <t>BM = 0.0002322*CL^2.997</t>
  </si>
  <si>
    <t>28 females</t>
  </si>
  <si>
    <t>BM = 0.0003652*CL^2.926</t>
  </si>
  <si>
    <t>Iverson et al. 1997</t>
  </si>
  <si>
    <t>males NR</t>
  </si>
  <si>
    <t>mm, kg</t>
  </si>
  <si>
    <t>BM = 13.24 - (0.114*CL) + (0.0003*CL^2)</t>
  </si>
  <si>
    <t>Trauth et al. 2016</t>
  </si>
  <si>
    <t>females NR</t>
  </si>
  <si>
    <t>BM = 14.40 - (0.120*CL) + (0.0003*CL^2)</t>
  </si>
  <si>
    <t>74 females?</t>
  </si>
  <si>
    <t>BM = 0.0005209*CL^2.717</t>
  </si>
  <si>
    <t>Meylan et al. 2011 BAMNH</t>
  </si>
  <si>
    <t>Tongaland</t>
  </si>
  <si>
    <t>33 females</t>
  </si>
  <si>
    <t>BM = 0.058479*CL^1.642</t>
  </si>
  <si>
    <t>Hughes et al. 1967 in Hirth 1982</t>
  </si>
  <si>
    <t>BM = 0.0024378*CL^2.341</t>
  </si>
  <si>
    <t>Ehrhart 1978 in Hirth 1982</t>
  </si>
  <si>
    <t>South Pacific</t>
  </si>
  <si>
    <t>20 females</t>
  </si>
  <si>
    <t>BM = 0.0088105*CL^2.084</t>
  </si>
  <si>
    <t>Hirth 1982</t>
  </si>
  <si>
    <t>10 females</t>
  </si>
  <si>
    <t>BM = 0.0012359*CL^2.503</t>
  </si>
  <si>
    <t>Hendrickson 1958 in Hirth 1982</t>
  </si>
  <si>
    <t>Mozambique</t>
  </si>
  <si>
    <t>19 females</t>
  </si>
  <si>
    <t>BM = 0.0000011324*CL^4.011</t>
  </si>
  <si>
    <t>Servan 1976 in Hirth 1982</t>
  </si>
  <si>
    <t>9 females</t>
  </si>
  <si>
    <t>BM = 0.0083368*CL^1.636</t>
  </si>
  <si>
    <t>Carr and Hirth 1962 in Hirth 1982</t>
  </si>
  <si>
    <t>Aves Island</t>
  </si>
  <si>
    <t>16 females</t>
  </si>
  <si>
    <t>BM = 0.00020464*CL^2.914</t>
  </si>
  <si>
    <t>Rainey 1971 in Hirth 1982</t>
  </si>
  <si>
    <t>6 females</t>
  </si>
  <si>
    <t>BM = 0.0088105*CL^2.089</t>
  </si>
  <si>
    <t>Gulf of CA</t>
  </si>
  <si>
    <t>in, kg</t>
  </si>
  <si>
    <t>BM = 0.0072*CL^2.60*CL</t>
  </si>
  <si>
    <t>Caldwell 1962; Ernst and Lovich 2009</t>
  </si>
  <si>
    <t>Bermuda</t>
  </si>
  <si>
    <t>2473 females?</t>
  </si>
  <si>
    <t>BM = 0.0076736*CL^2.109</t>
  </si>
  <si>
    <t>125 females?</t>
  </si>
  <si>
    <t>BM = 0.0001434*CL^2.99</t>
  </si>
  <si>
    <t>92 females</t>
  </si>
  <si>
    <t>BM = 0.000148*CL^2.983</t>
  </si>
  <si>
    <t>Guianas</t>
  </si>
  <si>
    <t>BM = 0.8649*CL^2.583</t>
  </si>
  <si>
    <t>Pritchard 1969</t>
  </si>
  <si>
    <t>Indian Ocean</t>
  </si>
  <si>
    <t>BM = 4.37938CL^2.247</t>
  </si>
  <si>
    <t>Hirth and Carr 1962</t>
  </si>
  <si>
    <t>Yemen</t>
  </si>
  <si>
    <t>14 females</t>
  </si>
  <si>
    <t>BM = 0.015776CL^1.864</t>
  </si>
  <si>
    <t>Hirth and Carr 1970 in Hirth 1982</t>
  </si>
  <si>
    <t>Guyana</t>
  </si>
  <si>
    <t>BM = 0.0027040CL^2.262</t>
  </si>
  <si>
    <t>Pritchard 1969 in Hirth 1982</t>
  </si>
  <si>
    <t>BM = 10.2149*CL^1.962</t>
  </si>
  <si>
    <t>Deraniyagala 1939; Hirth and Carr 1970; Pritchard 1969</t>
  </si>
  <si>
    <t>17 females</t>
  </si>
  <si>
    <t>BM = 0.052602*CL^1.610</t>
  </si>
  <si>
    <t>Chavez et al. 1967 in Hirth 1982</t>
  </si>
  <si>
    <t>BM = 18.9603*CL^1.784</t>
  </si>
  <si>
    <t>134 females</t>
  </si>
  <si>
    <t>BM = 5.2076*curvedCL - 468.84</t>
  </si>
  <si>
    <t>Boulon et al. 1996</t>
  </si>
  <si>
    <t>22 females</t>
  </si>
  <si>
    <t>BM = 5.032*CL - 417.7</t>
  </si>
  <si>
    <t>Leslie et al. 1996</t>
  </si>
  <si>
    <t>worldwide</t>
  </si>
  <si>
    <t>BM = 0.00052966*CL^3.121</t>
  </si>
  <si>
    <t>BM = 0.1153*CL^3.006</t>
  </si>
  <si>
    <t>Iverson 1984</t>
  </si>
  <si>
    <t>BM = 0.2136*CL^2.780</t>
  </si>
  <si>
    <t>BM = 0.2490*CL^2.867</t>
  </si>
  <si>
    <t>Florida Keys</t>
  </si>
  <si>
    <t>BM = 0.2642*CL^2.723</t>
  </si>
  <si>
    <t>Dunson 1981</t>
  </si>
  <si>
    <t>Colima/Jalisco</t>
  </si>
  <si>
    <t>7 males; 3 juveniles</t>
  </si>
  <si>
    <t>BM = 0.19756*CL^2.8454</t>
  </si>
  <si>
    <t>26 females; 3 juveniles</t>
  </si>
  <si>
    <t>BM = 0.1507*CL^2.9825</t>
  </si>
  <si>
    <t>Yucatan</t>
  </si>
  <si>
    <t>BM = 0.0006608*CL^2.649</t>
  </si>
  <si>
    <t>Iverson 1989</t>
  </si>
  <si>
    <t>BM = 0.2988*CL^2.988</t>
  </si>
  <si>
    <t>194 females</t>
  </si>
  <si>
    <t>BM = 0.00408*CL^2.396</t>
  </si>
  <si>
    <t>Iverson 1992</t>
  </si>
  <si>
    <t>BM = 0.1136*CL^3.095</t>
  </si>
  <si>
    <t>Chihuahua</t>
  </si>
  <si>
    <t>BM = 0.1931*CL^2.887</t>
  </si>
  <si>
    <t>310 males</t>
  </si>
  <si>
    <t>BM = 0.000335*CL^2.821</t>
  </si>
  <si>
    <t>275 females</t>
  </si>
  <si>
    <t>BM = 0.000162*CL^2.997</t>
  </si>
  <si>
    <t>central Mexico</t>
  </si>
  <si>
    <t>BM = 0.2942*CL^2.732</t>
  </si>
  <si>
    <t>BM = 0.1441*CL^2.996</t>
  </si>
  <si>
    <t>44 females</t>
  </si>
  <si>
    <t>BM = 0.0001263*PL^3.048</t>
  </si>
  <si>
    <t>Iverson 1998</t>
  </si>
  <si>
    <t>PL/CL = 0.954</t>
  </si>
  <si>
    <t>BM = 0.1771*CL^2.924</t>
  </si>
  <si>
    <t>BM = 0.1519*CL^2.927</t>
  </si>
  <si>
    <t>Kinosternon scorpioides cruentatum</t>
  </si>
  <si>
    <t>BM = 0.2212*CL^2.902</t>
  </si>
  <si>
    <t>BM = 0.000102*CL^3.108</t>
  </si>
  <si>
    <t>Iverson 2010</t>
  </si>
  <si>
    <t>36 females</t>
  </si>
  <si>
    <t>BM = 0.002032*CL^2.4917</t>
  </si>
  <si>
    <t>Etchberger pers. comm.</t>
  </si>
  <si>
    <t>BM = 0.2144*CL^2.889</t>
  </si>
  <si>
    <t>Oklahoma/Arkansas</t>
  </si>
  <si>
    <t>40 females/juvs</t>
  </si>
  <si>
    <t>BM = 0.000404*CL^2.786</t>
  </si>
  <si>
    <t>Iverson 2002</t>
  </si>
  <si>
    <t>28 males/juvs</t>
  </si>
  <si>
    <t>BM = 0.000428*CL^2.769</t>
  </si>
  <si>
    <t>225 males</t>
  </si>
  <si>
    <t>BM = 0.00004*CL^3.2797</t>
  </si>
  <si>
    <t>Dodd et al. 1988</t>
  </si>
  <si>
    <t>143 females</t>
  </si>
  <si>
    <t>BM = 0.00004*CL^3.2622</t>
  </si>
  <si>
    <t>4 males, 2 females</t>
  </si>
  <si>
    <t>BM = 0.000406*CL^2.8508</t>
  </si>
  <si>
    <t>Nolan 1991</t>
  </si>
  <si>
    <t>BM = 0.2473*CL^2.766</t>
  </si>
  <si>
    <t>Mosimann 1956</t>
  </si>
  <si>
    <t>BM = 0.1815*CL^2.766</t>
  </si>
  <si>
    <t>Evermann and Clark 1916</t>
  </si>
  <si>
    <t>BM = 0.3181*CL^2.692</t>
  </si>
  <si>
    <t xml:space="preserve">Staurotypus salvinii </t>
  </si>
  <si>
    <t>BM = 0.3276*CL^2.738</t>
  </si>
  <si>
    <t>Males NR (302?)</t>
  </si>
  <si>
    <t>BM = 30.255*10^(0.0083*CL)</t>
  </si>
  <si>
    <t>Germano 2016</t>
  </si>
  <si>
    <t>Females NR (129?)</t>
  </si>
  <si>
    <t>BM = 18.222*10^(0.0102*CL)</t>
  </si>
  <si>
    <t>BM = 0.296415*CL^2.7706</t>
  </si>
  <si>
    <t>Lovich pers.comm.</t>
  </si>
  <si>
    <t>3 females &gt;10 cm CL for 101 times</t>
  </si>
  <si>
    <t>BM = 0.0185*CL^4.0448</t>
  </si>
  <si>
    <t>Roddewig 2014</t>
  </si>
  <si>
    <t xml:space="preserve">cm, g </t>
  </si>
  <si>
    <t>BM = 0.2149*CL^2.812</t>
  </si>
  <si>
    <t>209 females</t>
  </si>
  <si>
    <t>BM = 12.33*CL - 1376.48 (linear)</t>
  </si>
  <si>
    <t>Iverson and Smith 1993</t>
  </si>
  <si>
    <t>Ohio</t>
  </si>
  <si>
    <t>BM = 0.3169*CL^2.646</t>
  </si>
  <si>
    <t>Mosimann 1958</t>
  </si>
  <si>
    <t>BM = 0.2823*CL^2.681</t>
  </si>
  <si>
    <t>166 females</t>
  </si>
  <si>
    <t>BM = 0.0010*PL^2.629</t>
  </si>
  <si>
    <t>Zweifel 1989</t>
  </si>
  <si>
    <t>CL = 1.017PL +5.453</t>
  </si>
  <si>
    <t>177 males</t>
  </si>
  <si>
    <t>BM = 0.00146PL^2.537</t>
  </si>
  <si>
    <t>CL = 1.048PL +3.91</t>
  </si>
  <si>
    <t>3 females &gt;8 cm CL for 86 times</t>
  </si>
  <si>
    <t>BM = 0.04462*CL^3.6943</t>
  </si>
  <si>
    <t>Roddewig 2012</t>
  </si>
  <si>
    <t>BM = 0.2743*CL^2.758</t>
  </si>
  <si>
    <t>Wade and Gifford 1965 in Iverson 1984</t>
  </si>
  <si>
    <t>NR</t>
  </si>
  <si>
    <t>BM = 0.00299*CL^2.439</t>
  </si>
  <si>
    <t>Meek 1982</t>
  </si>
  <si>
    <t>BM = 0.003*CL^2.8629</t>
  </si>
  <si>
    <t>Mosimann 2003</t>
  </si>
  <si>
    <t>check equation</t>
  </si>
  <si>
    <t>BM = 0.0728*CL^3.156</t>
  </si>
  <si>
    <t>BM = 0.1939*CL^2.796</t>
  </si>
  <si>
    <t>591 males</t>
  </si>
  <si>
    <t>BM = 0.0005004*CL^2.536</t>
  </si>
  <si>
    <t>507 females</t>
  </si>
  <si>
    <t>BM = 0.0004487*CL^2.736</t>
  </si>
  <si>
    <t>4 females &gt; 8 cm 32 times</t>
  </si>
  <si>
    <t>BM = 0.18863*CL^2.8964</t>
  </si>
  <si>
    <t>Roddewig 2010</t>
  </si>
  <si>
    <t>2 females; 6 males</t>
  </si>
  <si>
    <t>BM = 0.00002809*CL^3.3584</t>
  </si>
  <si>
    <t>Simoes and Chambers 1999</t>
  </si>
  <si>
    <t>11 females</t>
  </si>
  <si>
    <t>BM = 0.22558*CL^2.8753</t>
  </si>
  <si>
    <t>Burns and Williams 1972</t>
  </si>
  <si>
    <t>BM = 0.2692*CL^2.790</t>
  </si>
  <si>
    <t>Graham 1971</t>
  </si>
  <si>
    <t>12 females</t>
  </si>
  <si>
    <t>BM = 0.0001619*CL^3.0434</t>
  </si>
  <si>
    <t>5 females</t>
  </si>
  <si>
    <t>BM = 0.0056286*CL^2.3313</t>
  </si>
  <si>
    <t>Cerda and Waugh 1992</t>
  </si>
  <si>
    <t>BM = 0.2756*CL^2.954</t>
  </si>
  <si>
    <t>BM = 0.000207*CL^3.050</t>
  </si>
  <si>
    <t>BM = 0.0958*CL^3.213</t>
  </si>
  <si>
    <t>209 females and juveniles</t>
  </si>
  <si>
    <t>BM = 0.000520*CL^2.7474</t>
  </si>
  <si>
    <t>Lewis et al. 2018, unpublished</t>
  </si>
  <si>
    <t>206 males and juveniles</t>
  </si>
  <si>
    <t>BM = 0.000787*CL^2.6488</t>
  </si>
  <si>
    <t>BM = 0.000053908CL^3.1746</t>
  </si>
  <si>
    <t>NR captive</t>
  </si>
  <si>
    <t>BM = 0.00516*CL^2.7778</t>
  </si>
  <si>
    <t>78 males</t>
  </si>
  <si>
    <t>BM = 0.098*CL - 29.89</t>
  </si>
  <si>
    <t>Moll 1980</t>
  </si>
  <si>
    <t>148 females</t>
  </si>
  <si>
    <t>BM = 0.067*CL - 16.89</t>
  </si>
  <si>
    <t>8 feamles</t>
  </si>
  <si>
    <t>cm,  g</t>
  </si>
  <si>
    <t>BM = 0.10146*CL^3.0496</t>
  </si>
  <si>
    <t>Rom Whitaker, pers. communication</t>
  </si>
  <si>
    <t>Asia</t>
  </si>
  <si>
    <t>BM = 3.12176*CL^2.0494</t>
  </si>
  <si>
    <t>Paul Crow pers. communication</t>
  </si>
  <si>
    <t>5 males, two females</t>
  </si>
  <si>
    <t>BM = 0.04545*CL^3.4463</t>
  </si>
  <si>
    <t>Grossmann 2004</t>
  </si>
  <si>
    <t>2 males, 5 females</t>
  </si>
  <si>
    <t>BM = 0.0000008819*CL^4.0004</t>
  </si>
  <si>
    <t>Artner 2006</t>
  </si>
  <si>
    <t>2 males, two females</t>
  </si>
  <si>
    <t>BM = 0.0000003689*CL^3.7369</t>
  </si>
  <si>
    <t>5 males, 5 females</t>
  </si>
  <si>
    <t>BM = 0.000897*PL^2.6039</t>
  </si>
  <si>
    <t>Rouot and Maurer 2023</t>
  </si>
  <si>
    <t>PL/CL = ??</t>
  </si>
  <si>
    <t>China/Vietnam</t>
  </si>
  <si>
    <t>BM = 0.0003588*CL^2.7564</t>
  </si>
  <si>
    <t>Auer 2019</t>
  </si>
  <si>
    <t>BM = 1.4859*CL^1.918</t>
  </si>
  <si>
    <t>Petzold 1963</t>
  </si>
  <si>
    <t>13 females</t>
  </si>
  <si>
    <t>BM = 2.3067*CL^2.2095</t>
  </si>
  <si>
    <t>33 males and juveniles</t>
  </si>
  <si>
    <t>BM = 0.0017*CL^2.44</t>
  </si>
  <si>
    <t>Meek 1987, pers. comm.</t>
  </si>
  <si>
    <t>51 females and juveniles</t>
  </si>
  <si>
    <t>BM = 0.001*CL^2.58</t>
  </si>
  <si>
    <t>29 females</t>
  </si>
  <si>
    <t>BM = 0.1857*CL^2.788</t>
  </si>
  <si>
    <t>Gamboa 2009</t>
  </si>
  <si>
    <t>22 males</t>
  </si>
  <si>
    <t>BM = 0.1525*CL^2.888</t>
  </si>
  <si>
    <t>Jordan</t>
  </si>
  <si>
    <t>BM = 0.001*CL^3.0233</t>
  </si>
  <si>
    <t>Rifai and Amr 2004</t>
  </si>
  <si>
    <t>47 males</t>
  </si>
  <si>
    <t>BM = 0.1089*CL^2.591</t>
  </si>
  <si>
    <t>Kumar et al. 2010</t>
  </si>
  <si>
    <t>37 females</t>
  </si>
  <si>
    <t>BM = 0.1106*CL^2.6296</t>
  </si>
  <si>
    <t>BM = 4.3439*CL^1.846</t>
  </si>
  <si>
    <t>30 females</t>
  </si>
  <si>
    <t>BM = 0.2422*CL^2.8544</t>
  </si>
  <si>
    <t>India captive</t>
  </si>
  <si>
    <t>40 females</t>
  </si>
  <si>
    <t>BM = 0.26248*CL^2.8095</t>
  </si>
  <si>
    <t>BM = 5.7504*CL^1.701</t>
  </si>
  <si>
    <t>Mittermeier 1971</t>
  </si>
  <si>
    <t>195 females</t>
  </si>
  <si>
    <t>BM = 0.0002*CL^2.94</t>
  </si>
  <si>
    <t>Giraldo et al. 2012</t>
  </si>
  <si>
    <t>8 male; 12 females</t>
  </si>
  <si>
    <t>BM = 0.0004357*CL^2.8033</t>
  </si>
  <si>
    <t>Gong et al. 2019</t>
  </si>
  <si>
    <t>219 females</t>
  </si>
  <si>
    <t>BM = 0.2496*PL^2.935</t>
  </si>
  <si>
    <t>Iverson and Moler 1997</t>
  </si>
  <si>
    <t>(PL/CL = 0.783)</t>
  </si>
  <si>
    <t>BM = 0.1012*CL^2.951</t>
  </si>
  <si>
    <t>Dunson 1967 (Iverson 1984)</t>
  </si>
  <si>
    <t>BM = 0.00015996*CL^2.8994</t>
  </si>
  <si>
    <t>91 females and juveniles</t>
  </si>
  <si>
    <t>BM = 0.0001053*CL^2.9691</t>
  </si>
  <si>
    <t>BM = 0.19454*CL^2.8203</t>
  </si>
  <si>
    <t>Yadava and Prasad 1982</t>
  </si>
  <si>
    <t>BM = 0.1813*CL^2.897</t>
  </si>
  <si>
    <t>4 females</t>
  </si>
  <si>
    <t>BM = 2.2356*CL^2.2487</t>
  </si>
  <si>
    <t>BM = 0.0822*CL^2.9516</t>
  </si>
  <si>
    <t>Gramentz 2005</t>
  </si>
  <si>
    <t>Mauritius</t>
  </si>
  <si>
    <t>Males; NR</t>
  </si>
  <si>
    <t>BM = 2.1311*CL^2.437</t>
  </si>
  <si>
    <t>Aworer and Ramchurn 2003</t>
  </si>
  <si>
    <t>Females; NR</t>
  </si>
  <si>
    <t>BM = 8.278*CL^2.1149</t>
  </si>
  <si>
    <t>BM = 0.0006705*CL^2.7376</t>
  </si>
  <si>
    <t>Buskirk 1993</t>
  </si>
  <si>
    <t>Chelonoidis denticulata</t>
  </si>
  <si>
    <t>6 females, 28 times</t>
  </si>
  <si>
    <t>BM = 0.003021*CL^2.4988</t>
  </si>
  <si>
    <t>Humair 2013</t>
  </si>
  <si>
    <t>3 males; 1 female</t>
  </si>
  <si>
    <t>BM = 460.87*CL - 10281</t>
  </si>
  <si>
    <t>Böhm 2011</t>
  </si>
  <si>
    <t>Mali</t>
  </si>
  <si>
    <t>BM = 0.00921*CL^2.755</t>
  </si>
  <si>
    <t>Lambert 1993 (see also Lambert 1995)</t>
  </si>
  <si>
    <t>8 adult and juveniles</t>
  </si>
  <si>
    <t>BM = 0.0007247*CL^2.7778</t>
  </si>
  <si>
    <t>Cloudsley-Thompson 1970; Meek and Avery 1988</t>
  </si>
  <si>
    <t>Chersine angulata</t>
  </si>
  <si>
    <t>122 males</t>
  </si>
  <si>
    <t>BM = 2.847*CL -45.572</t>
  </si>
  <si>
    <t>Branch 1984</t>
  </si>
  <si>
    <t>145 females</t>
  </si>
  <si>
    <t>BM = 2.572*CL - 34.364</t>
  </si>
  <si>
    <t>BM = 0.6360*CL^2.548</t>
  </si>
  <si>
    <t>27 females</t>
  </si>
  <si>
    <t>BM = 1.79143*CL^2.3035</t>
  </si>
  <si>
    <t>Lovich pers. comm.</t>
  </si>
  <si>
    <t>All NR</t>
  </si>
  <si>
    <t>BM = 0.000959*CL^2.73</t>
  </si>
  <si>
    <t>Bury and Smith 1986</t>
  </si>
  <si>
    <t>Females NR</t>
  </si>
  <si>
    <t>BM = 0.000426*CL^2.89</t>
  </si>
  <si>
    <t>Male NR</t>
  </si>
  <si>
    <t>BM = 0.004630*CL^2.42</t>
  </si>
  <si>
    <t>BM = 0.2652*CL^2.815</t>
  </si>
  <si>
    <t>Goin and Goff (Iverson 1984)</t>
  </si>
  <si>
    <t>6 female;1 male</t>
  </si>
  <si>
    <t>BM = 0.6159*CL^2.493</t>
  </si>
  <si>
    <t>Bhupathy and Choudhury 1995</t>
  </si>
  <si>
    <t>BM = 0.0000004004*CL^4.1841</t>
  </si>
  <si>
    <t>Kabigumila 2002</t>
  </si>
  <si>
    <t>11 males</t>
  </si>
  <si>
    <t>BM = 0.00326*CL^2.419</t>
  </si>
  <si>
    <t>Kuchling 1986</t>
  </si>
  <si>
    <t>BM = 0.00360*CL^2.436</t>
  </si>
  <si>
    <t>Malacocherus tornieri</t>
  </si>
  <si>
    <t>43? males</t>
  </si>
  <si>
    <t>BM = 0.000001705*CL^3.8314</t>
  </si>
  <si>
    <t>76? females</t>
  </si>
  <si>
    <t>BM = 0.000003687*CL^3.8314</t>
  </si>
  <si>
    <t>92; immatures</t>
  </si>
  <si>
    <t>BM = 0.0004440*CL^2.7548</t>
  </si>
  <si>
    <t>BM = 0.000001921CL^3.8314</t>
  </si>
  <si>
    <t>Manouria emys emys</t>
  </si>
  <si>
    <t>Borneo</t>
  </si>
  <si>
    <t>13 mixed sexes</t>
  </si>
  <si>
    <t>BM = 2.9546CL^2.2253</t>
  </si>
  <si>
    <t>Høybye-Mortensen 2004</t>
  </si>
  <si>
    <t>BM = 0.0003071*CL^3.00</t>
  </si>
  <si>
    <t>Kabigumila 1998 in Kabigumila 2002</t>
  </si>
  <si>
    <t>suspect?</t>
  </si>
  <si>
    <t>BM = 0.0003112*CL^2.7459</t>
  </si>
  <si>
    <t>Wilson 1968</t>
  </si>
  <si>
    <t>Equation must be wrong</t>
  </si>
  <si>
    <t>Somaliland</t>
  </si>
  <si>
    <t>BM = 0.002767*CL^2.5063</t>
  </si>
  <si>
    <t>Lambert 1995</t>
  </si>
  <si>
    <t>BM = 0.62044*CL^2.7241</t>
  </si>
  <si>
    <t>Mill 2015</t>
  </si>
  <si>
    <t>Mediterranean</t>
  </si>
  <si>
    <t>BM = 0.000257*CL^2.94</t>
  </si>
  <si>
    <t>Lambert 1982</t>
  </si>
  <si>
    <t>BM = 0.00003659*CL^3.333</t>
  </si>
  <si>
    <t>276 females and juveniles</t>
  </si>
  <si>
    <t>BM = 0.000493*CL^2.846</t>
  </si>
  <si>
    <t>Willemsen and Hailey 2002</t>
  </si>
  <si>
    <t>239 males</t>
  </si>
  <si>
    <t>BM = 0.002825*CL^2.498</t>
  </si>
  <si>
    <t>captive and field</t>
  </si>
  <si>
    <t>BM = 0.000197*CL^3.030</t>
  </si>
  <si>
    <t>Lambert et al. 1988</t>
  </si>
  <si>
    <t>BM = 0.001488*CL^2.6316</t>
  </si>
  <si>
    <t>131 males</t>
  </si>
  <si>
    <t>BM = 0.002627*CL^2.517</t>
  </si>
  <si>
    <t>Turkozan et al. 2019</t>
  </si>
  <si>
    <t>94 females</t>
  </si>
  <si>
    <t>BM = 0.00569*CL^2.3737</t>
  </si>
  <si>
    <t>Turkozan et al. 2019 (erratum)</t>
  </si>
  <si>
    <t>156 females</t>
  </si>
  <si>
    <t>BM = 0.000690*CL^2.767</t>
  </si>
  <si>
    <t>Willemsen et al. 2002</t>
  </si>
  <si>
    <t>109 males</t>
  </si>
  <si>
    <t>BM = 0.000245*CL^2.967</t>
  </si>
  <si>
    <t>1156 females</t>
  </si>
  <si>
    <t>BM = 0.000649*CL^2.774</t>
  </si>
  <si>
    <t>1948 males</t>
  </si>
  <si>
    <t>BM = 0.000661*CL^2.760</t>
  </si>
  <si>
    <t>101 females and juveniles</t>
  </si>
  <si>
    <t>BM = 0.001888*CL^2.531</t>
  </si>
  <si>
    <t>116 males</t>
  </si>
  <si>
    <t>BM = 0.003342*CL^2.420</t>
  </si>
  <si>
    <t>BM = 0.0005977*CL^2.747</t>
  </si>
  <si>
    <t>BM = 0.096*CL^3.02</t>
  </si>
  <si>
    <t>Chessman 1978</t>
  </si>
  <si>
    <t>BM = 0.090*CL^3.04</t>
  </si>
  <si>
    <t>BM = 0.200*CL^2.78</t>
  </si>
  <si>
    <t>lnBM = 2.37 + 0.230*CL</t>
  </si>
  <si>
    <t>Parmenter 1976</t>
  </si>
  <si>
    <t>Chelodina colliei</t>
  </si>
  <si>
    <t>W Australia</t>
  </si>
  <si>
    <t>2 males; 2 females</t>
  </si>
  <si>
    <t>BM = 0.0634*CL^3.160</t>
  </si>
  <si>
    <t>Kuchling 2002</t>
  </si>
  <si>
    <t>Northern Australia</t>
  </si>
  <si>
    <t>BM = 1.7069*CL^2.2421</t>
  </si>
  <si>
    <t>Büttner 2016</t>
  </si>
  <si>
    <t>1 female 9x over 14 yrs</t>
  </si>
  <si>
    <t>BM = 0.0272*CL^3.5191</t>
  </si>
  <si>
    <t>Büttner 2014</t>
  </si>
  <si>
    <t>BM = 0.100*CL^3.000</t>
  </si>
  <si>
    <t>Emydura macquarii krefftii</t>
  </si>
  <si>
    <t>g, mm</t>
  </si>
  <si>
    <t>BM = 0.00018*CL^2.91</t>
  </si>
  <si>
    <t>Georges 1982</t>
  </si>
  <si>
    <t>38 females</t>
  </si>
  <si>
    <t>BM = 5.00*CL - 447.7</t>
  </si>
  <si>
    <t>Souza and Abe 1997</t>
  </si>
  <si>
    <t>20 Males</t>
  </si>
  <si>
    <t>BM = 5.28*CL - 521.4</t>
  </si>
  <si>
    <t>BM = 0.00051342*CL^2.6584</t>
  </si>
  <si>
    <t>Lamar and Medem 1982</t>
  </si>
  <si>
    <t>Pelomedusa cf. subrufa</t>
  </si>
  <si>
    <t>1 female 11 times</t>
  </si>
  <si>
    <t>BM = 0.00007458*CL^6.0854</t>
  </si>
  <si>
    <t>Büttner 2013</t>
  </si>
  <si>
    <t>259 females?</t>
  </si>
  <si>
    <t>BM = "371.8954*exp(0.0063*CL)"</t>
  </si>
  <si>
    <t>Pezzuti et al. 2008</t>
  </si>
  <si>
    <t>BM = 0.000.463*PL^2.794</t>
  </si>
  <si>
    <t>Vanzolini and Gomes 1979</t>
  </si>
  <si>
    <t>BM = 0.2070*CL^2.783</t>
  </si>
  <si>
    <t>Smith 1979</t>
  </si>
  <si>
    <t>1292 females</t>
  </si>
  <si>
    <t>BM = 0.0002414*CL^2.882</t>
  </si>
  <si>
    <t>Mioranda 2016</t>
  </si>
  <si>
    <t>649 males</t>
  </si>
  <si>
    <t>BM = 0.0002757*CL^2.843</t>
  </si>
  <si>
    <t>56 females (outliers discarded)</t>
  </si>
  <si>
    <t>BM = 0.000219*CL^2.8786</t>
  </si>
  <si>
    <t>Alarcon Pardo 1969</t>
  </si>
  <si>
    <t>68 males (outliers discarded)</t>
  </si>
  <si>
    <t>BM = 0.0004049*CL^2.7598</t>
  </si>
  <si>
    <t>OTHERS</t>
  </si>
  <si>
    <t>104 females</t>
  </si>
  <si>
    <t>cm, kg?</t>
  </si>
  <si>
    <t>Plot of CL vs BM but units cannot be correct</t>
  </si>
  <si>
    <t>Ehrhart and Yoder 1978 (Fig. 6)</t>
  </si>
  <si>
    <t>ca. 67</t>
  </si>
  <si>
    <t>Plot of CL vs BM but no equation</t>
  </si>
  <si>
    <t>Fitch and Plummer 1975</t>
  </si>
  <si>
    <t>Slovenia</t>
  </si>
  <si>
    <t>Vamberger and Kos 2011</t>
  </si>
  <si>
    <t>32/34</t>
  </si>
  <si>
    <t>Plot of curved CL vs BM, but no equations</t>
  </si>
  <si>
    <t>Mukherjee et al. 2006</t>
  </si>
  <si>
    <t>at least 90</t>
  </si>
  <si>
    <t>Grubb 1971</t>
  </si>
  <si>
    <t>7 females</t>
  </si>
  <si>
    <t>Schmidt 2006</t>
  </si>
  <si>
    <t>12 females; 6 males; 41 juvs</t>
  </si>
  <si>
    <t>Kuchling 1988</t>
  </si>
  <si>
    <t>2889 females; 5967 males</t>
  </si>
  <si>
    <t>Log-log plots of CL vs BM by sex but no equations</t>
  </si>
  <si>
    <t>Hailey 2000 (but see Willemsen and Hailey 2002)</t>
  </si>
  <si>
    <t>10 males; 14 females</t>
  </si>
  <si>
    <t>Plot of PL vs BM, but no equation</t>
  </si>
  <si>
    <t>Richard 1988</t>
  </si>
  <si>
    <t>LITERATURE CITED FOR BODY MASS – CARAPACE LENGTH DATA</t>
  </si>
  <si>
    <t>Supplemented by personal communications from: T. Akre, D. Auth, O. Bourquin, P. Crow, T. Diagne, S. Dinkelacker,  C. Etchberger, J. Godwin, C. Hagen, D. Ligon, P. Lindeman, J. Lovich, P. McGovern, D. McKnight, J. Meck, R. Meek, S. Platt, F. Rose, D. Thompson, O. Turkozan, J.H. Van Doren, R. Whitaker, R. Zappalorti, and T. Zhou.</t>
  </si>
  <si>
    <r>
      <t xml:space="preserve">Alarcon-Pardo, H. 1969. Contribución al conocimiento de la morfología, ecología, comportamiento y distribución geográfica de </t>
    </r>
    <r>
      <rPr>
        <i/>
        <sz val="12"/>
        <color rgb="FF000000"/>
        <rFont val="Times New Roman"/>
        <family val="1"/>
      </rPr>
      <t>Podocnemis vogli</t>
    </r>
    <r>
      <rPr>
        <sz val="12"/>
        <color rgb="FF000000"/>
        <rFont val="Times New Roman"/>
        <family val="1"/>
      </rPr>
      <t>, Testudinata (Pelomedusidae). Rev. Acad. Colomb. Cienc. Exac. Fisic. Natur. 13(51):303–326.</t>
    </r>
  </si>
  <si>
    <r>
      <t>Arango-Lozano, J., K. Young-Valencia, A. Giraldo, and A. Botero–Botero. 2017. Age structure and population morphometry in the South American Snapping Turtle (</t>
    </r>
    <r>
      <rPr>
        <i/>
        <sz val="12"/>
        <color rgb="FF000000"/>
        <rFont val="Times New Roman"/>
        <family val="1"/>
      </rPr>
      <t>Chelydra acutirostris</t>
    </r>
    <r>
      <rPr>
        <sz val="12"/>
        <color rgb="FF000000"/>
        <rFont val="Times New Roman"/>
        <family val="1"/>
      </rPr>
      <t>, Peters 1862) in three affluents of La Vieja River, Department of Quindío, Colombia. Boletin Cientifico Museo de Historia Natural Universidad Caldas 21(1):122–137.</t>
    </r>
  </si>
  <si>
    <r>
      <t xml:space="preserve">Artner, H. 2006. Keeping and breeding of Pan’s box turtle </t>
    </r>
    <r>
      <rPr>
        <i/>
        <sz val="12"/>
        <color rgb="FF000000"/>
        <rFont val="Times New Roman"/>
        <family val="1"/>
      </rPr>
      <t>Cuora pani pani</t>
    </r>
    <r>
      <rPr>
        <sz val="12"/>
        <color rgb="FF000000"/>
        <rFont val="Times New Roman"/>
        <family val="1"/>
      </rPr>
      <t xml:space="preserve"> Song, 1984 and </t>
    </r>
    <r>
      <rPr>
        <i/>
        <sz val="12"/>
        <color rgb="FF000000"/>
        <rFont val="Times New Roman"/>
        <family val="1"/>
      </rPr>
      <t>Cuora pani aurocapitata</t>
    </r>
    <r>
      <rPr>
        <sz val="12"/>
        <color rgb="FF000000"/>
        <rFont val="Times New Roman"/>
        <family val="1"/>
      </rPr>
      <t xml:space="preserve"> Luo and Zong, 1988. In: H. Artner, B, Balazs, and V. Loehr (Eds.). Turtles. Pp. 52–68. Proceedings of the International Turtle and Tortoise Symposium, Vienna 2002.</t>
    </r>
  </si>
  <si>
    <r>
      <t xml:space="preserve">Artner, H. 2006. The Antillean sliders of the genus </t>
    </r>
    <r>
      <rPr>
        <i/>
        <sz val="12"/>
        <color rgb="FF000000"/>
        <rFont val="Times New Roman"/>
        <family val="1"/>
      </rPr>
      <t>Trachemys</t>
    </r>
    <r>
      <rPr>
        <sz val="12"/>
        <color rgb="FF000000"/>
        <rFont val="Times New Roman"/>
        <family val="1"/>
      </rPr>
      <t xml:space="preserve"> Agassiz, 1857.  In: H. Artner, B, Balazs, and V. Loehr (Eds.). Turtles. Pp. 298–327. Proceedings of the International Turtle and Tortoise Symposium, Vienna 2002.</t>
    </r>
  </si>
  <si>
    <r>
      <t>Auer, M. 2019. Tracking down the Black-breasted Leaf Turtle (</t>
    </r>
    <r>
      <rPr>
        <i/>
        <sz val="12"/>
        <color rgb="FF000000"/>
        <rFont val="Times New Roman"/>
        <family val="1"/>
      </rPr>
      <t>Geoemyda spengleri</t>
    </r>
    <r>
      <rPr>
        <sz val="12"/>
        <color rgb="FF000000"/>
        <rFont val="Times New Roman"/>
        <family val="1"/>
      </rPr>
      <t>), observations in China. Radiata 28(4):4–20</t>
    </r>
  </si>
  <si>
    <r>
      <t xml:space="preserve">Aworer, L. and R. Ramchurn. 2003. The relationships between length and weight of the Aldabra giant tortoise, </t>
    </r>
    <r>
      <rPr>
        <i/>
        <sz val="12"/>
        <color rgb="FF000000"/>
        <rFont val="Times New Roman"/>
        <family val="1"/>
      </rPr>
      <t>Dipsochelys dussumieri</t>
    </r>
    <r>
      <rPr>
        <sz val="12"/>
        <color rgb="FF000000"/>
        <rFont val="Times New Roman"/>
        <family val="1"/>
      </rPr>
      <t>, in Mauritius. Phelsuma 11: 52–58.</t>
    </r>
  </si>
  <si>
    <r>
      <t xml:space="preserve">Baard, E.H.W. 1990. Biological aspects and conservation status of the geometric tortoise, </t>
    </r>
    <r>
      <rPr>
        <i/>
        <sz val="12"/>
        <color rgb="FF000000"/>
        <rFont val="Times New Roman"/>
        <family val="1"/>
      </rPr>
      <t>Psammobates geometricus</t>
    </r>
    <r>
      <rPr>
        <sz val="12"/>
        <color rgb="FF000000"/>
        <rFont val="Times New Roman"/>
        <family val="1"/>
      </rPr>
      <t xml:space="preserve"> (Linnaeus, 1758) (Cryptodira: Testudinidae). Ph.D. Thesis, Univ. Stellenbosch.</t>
    </r>
  </si>
  <si>
    <r>
      <t xml:space="preserve">Bhupathy, S. 1995. Status and distribution of the River Terrapin </t>
    </r>
    <r>
      <rPr>
        <i/>
        <sz val="12"/>
        <color rgb="FF000000"/>
        <rFont val="Times New Roman"/>
        <family val="1"/>
      </rPr>
      <t>Batagur baska</t>
    </r>
    <r>
      <rPr>
        <sz val="12"/>
        <color rgb="FF000000"/>
        <rFont val="Times New Roman"/>
        <family val="1"/>
      </rPr>
      <t xml:space="preserve"> in the Sunderban of India. Technical report Sálim Ali Centre for Ornithology and Natural History No. 3, Coimbatore. India.  37 pp. </t>
    </r>
  </si>
  <si>
    <r>
      <t xml:space="preserve">Bhupathy, S. and B.C. Choudhury. 1995. Status, distribution and conservation of the Travancore Tortoise, </t>
    </r>
    <r>
      <rPr>
        <i/>
        <sz val="12"/>
        <color rgb="FF000000"/>
        <rFont val="Times New Roman"/>
        <family val="1"/>
      </rPr>
      <t>Indotestudo forstenii</t>
    </r>
    <r>
      <rPr>
        <sz val="12"/>
        <color rgb="FF000000"/>
        <rFont val="Times New Roman"/>
        <family val="1"/>
      </rPr>
      <t xml:space="preserve"> in Western Ghats. Journal of the Bombay Natural History Society 92:16–21.</t>
    </r>
  </si>
  <si>
    <r>
      <t xml:space="preserve">Bjorndal, K.A. and A.B. Bolten. 1989. Comparison of straight-line and over-the-curve measurements for growth rates of Green Turtles, </t>
    </r>
    <r>
      <rPr>
        <i/>
        <sz val="12"/>
        <color rgb="FF000000"/>
        <rFont val="Times New Roman"/>
        <family val="1"/>
      </rPr>
      <t>Chelonia mydas</t>
    </r>
    <r>
      <rPr>
        <sz val="12"/>
        <color rgb="FF000000"/>
        <rFont val="Times New Roman"/>
        <family val="1"/>
      </rPr>
      <t>. Bulletin of Marine Science 45:189–192.</t>
    </r>
  </si>
  <si>
    <r>
      <t>Bohm, S. 2011. Observations on the South American Yellow-footed Tortoise (</t>
    </r>
    <r>
      <rPr>
        <i/>
        <sz val="12"/>
        <color rgb="FF000000"/>
        <rFont val="Times New Roman"/>
        <family val="1"/>
      </rPr>
      <t>Chelonoidis denticulata</t>
    </r>
    <r>
      <rPr>
        <sz val="12"/>
        <color rgb="FF000000"/>
        <rFont val="Times New Roman"/>
        <family val="1"/>
      </rPr>
      <t xml:space="preserve">) in French Guiana. Radiata 20(2):18–32. </t>
    </r>
  </si>
  <si>
    <r>
      <t xml:space="preserve">Bohm, S. 2017. Remarkable in every way: Keeping and breeding the Narrow-bridged Musk Turtle, </t>
    </r>
    <r>
      <rPr>
        <i/>
        <sz val="12"/>
        <color rgb="FF000000"/>
        <rFont val="Times New Roman"/>
        <family val="1"/>
      </rPr>
      <t>Claudius angustatus</t>
    </r>
    <r>
      <rPr>
        <sz val="12"/>
        <color rgb="FF000000"/>
        <rFont val="Times New Roman"/>
        <family val="1"/>
      </rPr>
      <t>. The Batagur 7:1–7.</t>
    </r>
  </si>
  <si>
    <r>
      <t>Boulon, R. H., Jr., P.H. Dutton, and D.L. Macdonald. 1996. Leatherback turtles (</t>
    </r>
    <r>
      <rPr>
        <i/>
        <sz val="12"/>
        <color rgb="FF000000"/>
        <rFont val="Times New Roman"/>
        <family val="1"/>
      </rPr>
      <t>Dermochelys coriacea</t>
    </r>
    <r>
      <rPr>
        <sz val="12"/>
        <color rgb="FF000000"/>
        <rFont val="Times New Roman"/>
        <family val="1"/>
      </rPr>
      <t>) on St. Croix, U.S. Virgin Islands: fifteen years of conservation. Chelonian Conservation and Biology 2(2):141–147.</t>
    </r>
  </si>
  <si>
    <t>Bourquin, O. 1992. Biggest recorded Natal Hinged Tortoise. Tortoise Society Natal Newsletter 3(3):7-8.</t>
  </si>
  <si>
    <r>
      <t>Branch, W.R. 1984. Preliminary observations on the ecology of the Angulate Tortoise (</t>
    </r>
    <r>
      <rPr>
        <i/>
        <sz val="12"/>
        <color rgb="FF000000"/>
        <rFont val="Times New Roman"/>
        <family val="1"/>
      </rPr>
      <t>Chersina angulata</t>
    </r>
    <r>
      <rPr>
        <sz val="12"/>
        <color rgb="FF000000"/>
        <rFont val="Times New Roman"/>
        <family val="1"/>
      </rPr>
      <t xml:space="preserve">) in the Eastern Cape Province, South Africa. Amphibia–Reptilia 5:43–55. </t>
    </r>
  </si>
  <si>
    <t>Brown, D.J., I. Mali, M.C. Jones, and M.R.J. Forstner. 2020. Morphometric data for five freshwater turtles in south, central, and west Texas. Data in Brief 29:105356.</t>
  </si>
  <si>
    <r>
      <t xml:space="preserve">Burns, T.A. and K.L. Williams. 1972. Notes on the reproductive habits of </t>
    </r>
    <r>
      <rPr>
        <i/>
        <sz val="12"/>
        <color rgb="FF000000"/>
        <rFont val="Times New Roman"/>
        <family val="1"/>
      </rPr>
      <t>Malaclemys terrapin pileata</t>
    </r>
    <r>
      <rPr>
        <sz val="12"/>
        <color rgb="FF000000"/>
        <rFont val="Times New Roman"/>
        <family val="1"/>
      </rPr>
      <t xml:space="preserve">. Journal of Herpetology 6:237–238. </t>
    </r>
  </si>
  <si>
    <r>
      <t xml:space="preserve">Bury, R.B. and E.L. Smith. 1986. Aspects of the ecology and management of the Tortoise </t>
    </r>
    <r>
      <rPr>
        <i/>
        <sz val="12"/>
        <color rgb="FF000000"/>
        <rFont val="Times New Roman"/>
        <family val="1"/>
      </rPr>
      <t>Gopherus berlandieri</t>
    </r>
    <r>
      <rPr>
        <sz val="12"/>
        <color rgb="FF000000"/>
        <rFont val="Times New Roman"/>
        <family val="1"/>
      </rPr>
      <t xml:space="preserve"> at Laguna Atascosa, Texas. The Southwestern Naturalist 31:387–394. </t>
    </r>
  </si>
  <si>
    <r>
      <t xml:space="preserve">Buskirk, J.R. 1993. Distribution, status and biology of the tortoise </t>
    </r>
    <r>
      <rPr>
        <i/>
        <sz val="12"/>
        <color rgb="FF000000"/>
        <rFont val="Times New Roman"/>
        <family val="1"/>
      </rPr>
      <t>Geochelone chilensis</t>
    </r>
    <r>
      <rPr>
        <sz val="12"/>
        <color rgb="FF000000"/>
        <rFont val="Times New Roman"/>
        <family val="1"/>
      </rPr>
      <t>, in Rio Negro Province, Argentina. Studies on Neotropical Fauna and Environment 28(4):233–249.</t>
    </r>
  </si>
  <si>
    <r>
      <t xml:space="preserve">Buteler, C., M.C. Labaque, and G.C.Leynaud. 2022. Thermal biology of zoo-housed </t>
    </r>
    <r>
      <rPr>
        <i/>
        <sz val="12"/>
        <color rgb="FF000000"/>
        <rFont val="Times New Roman"/>
        <family val="1"/>
      </rPr>
      <t>Chelonoidis chilensis</t>
    </r>
    <r>
      <rPr>
        <sz val="12"/>
        <color rgb="FF000000"/>
        <rFont val="Times New Roman"/>
        <family val="1"/>
      </rPr>
      <t>: Determining the activity pattern and estimated selected and critical maximum temperature. Herpetological Conservation and Biology 17:11–121.</t>
    </r>
  </si>
  <si>
    <r>
      <t xml:space="preserve">Büttner, E. 2013. Experiences with the husbandry and propagation of the Helmeted Turtle, </t>
    </r>
    <r>
      <rPr>
        <i/>
        <sz val="12"/>
        <color rgb="FF000000"/>
        <rFont val="Times New Roman"/>
        <family val="1"/>
      </rPr>
      <t>Pelomedusa subrufa</t>
    </r>
    <r>
      <rPr>
        <sz val="12"/>
        <color rgb="FF000000"/>
        <rFont val="Times New Roman"/>
        <family val="1"/>
      </rPr>
      <t xml:space="preserve"> (Bonnaterre, 1789). Radiata 22(1):54–67.</t>
    </r>
  </si>
  <si>
    <r>
      <t xml:space="preserve">Büttner, E. 2014. Abnormally shaped eggs in clutches of the Matamata </t>
    </r>
    <r>
      <rPr>
        <i/>
        <sz val="12"/>
        <color rgb="FF000000"/>
        <rFont val="Times New Roman"/>
        <family val="1"/>
      </rPr>
      <t>Chelus fimbriata</t>
    </r>
    <r>
      <rPr>
        <sz val="12"/>
        <color rgb="FF000000"/>
        <rFont val="Times New Roman"/>
        <family val="1"/>
      </rPr>
      <t xml:space="preserve"> (Schneider, 1783), in my care. Radiata 23(2):30–34.</t>
    </r>
  </si>
  <si>
    <r>
      <t xml:space="preserve">Büttner, E. 2016. Husbandry and breeding of the Northern Snake-necked Turtle </t>
    </r>
    <r>
      <rPr>
        <i/>
        <sz val="12"/>
        <color rgb="FF000000"/>
        <rFont val="Times New Roman"/>
        <family val="1"/>
      </rPr>
      <t>Chelodina oblonga</t>
    </r>
    <r>
      <rPr>
        <sz val="12"/>
        <color rgb="FF000000"/>
        <rFont val="Times New Roman"/>
        <family val="1"/>
      </rPr>
      <t xml:space="preserve"> Gray, 1841. Radiata 25(3):4–12.</t>
    </r>
  </si>
  <si>
    <r>
      <t xml:space="preserve">Caldwell, David K. 1962. Carapace length-body weight relationship and size and sex ratio of the northeastern Pacific Green Sea Turtle, </t>
    </r>
    <r>
      <rPr>
        <i/>
        <sz val="12"/>
        <color rgb="FF000000"/>
        <rFont val="Times New Roman"/>
        <family val="1"/>
      </rPr>
      <t>Chelonia mydas carrinegra</t>
    </r>
    <r>
      <rPr>
        <sz val="12"/>
        <color rgb="FF000000"/>
        <rFont val="Times New Roman"/>
        <family val="1"/>
      </rPr>
      <t>. Los Angeles County Museum Contributions in Science 62:1–10.</t>
    </r>
  </si>
  <si>
    <r>
      <t>Cannon, A.C., T.F. Clark, T.D. Williams, D.B. Revera, and C.W. Caillouet, Jr. 1994. Incidental catch of Kemp’s Ridley Sea Turtles (</t>
    </r>
    <r>
      <rPr>
        <i/>
        <sz val="12"/>
        <color rgb="FF000000"/>
        <rFont val="Times New Roman"/>
        <family val="1"/>
      </rPr>
      <t>Lepidochelys kempi</t>
    </r>
    <r>
      <rPr>
        <sz val="12"/>
        <color rgb="FF000000"/>
        <rFont val="Times New Roman"/>
        <family val="1"/>
      </rPr>
      <t>), by hook and line, along the Texas coast, 1980–1992.  Proceedings of the Thirteenth Annual Symposium on Sea Turtle Biology and Conservation pp. 40–42.</t>
    </r>
  </si>
  <si>
    <t>Carr, A. F., Jr. and H. Hirth. 1962. The ecology and migrations of sea turtles. 5. Comparative features of isolated green turtle colonies. American Museum Novitates 2091:1–42.</t>
  </si>
  <si>
    <r>
      <t xml:space="preserve">Cerda, A. and D. Waugh. 1992. </t>
    </r>
    <r>
      <rPr>
        <sz val="11.5"/>
        <color rgb="FF000000"/>
        <rFont val="Times New Roman"/>
        <family val="1"/>
      </rPr>
      <t xml:space="preserve">Status and management of the Mexican box terrapin </t>
    </r>
    <r>
      <rPr>
        <i/>
        <sz val="11.5"/>
        <color rgb="FF000000"/>
        <rFont val="Times New Roman"/>
        <family val="1"/>
      </rPr>
      <t>Terrapene coahuila</t>
    </r>
    <r>
      <rPr>
        <sz val="11.5"/>
        <color rgb="FF000000"/>
        <rFont val="Times New Roman"/>
        <family val="1"/>
      </rPr>
      <t xml:space="preserve"> at the Jersey Wildlife Preservation Trust. Dodo 28:126–142.</t>
    </r>
  </si>
  <si>
    <t>Chavez, H., M. Contreras G., and T.P.E Hernandez  D. 1968. On the coast of Tamaulipas. International Turtle and Tortoise Society Journal 4:20–29, 37.</t>
  </si>
  <si>
    <t>Chessman, B.C. 1978. Ecological studies of freshwater turtles in south-eastern Australia. Ph.D. Thesis, Monash University, Melbourne.</t>
  </si>
  <si>
    <r>
      <t xml:space="preserve">Cloudsley-Thompson, J.L. 1970. On the biology of the desert tortoise </t>
    </r>
    <r>
      <rPr>
        <i/>
        <sz val="12"/>
        <color rgb="FF000000"/>
        <rFont val="Times New Roman"/>
        <family val="1"/>
      </rPr>
      <t>Testudo sulcata</t>
    </r>
    <r>
      <rPr>
        <sz val="12"/>
        <color rgb="FF000000"/>
        <rFont val="Times New Roman"/>
        <family val="1"/>
      </rPr>
      <t xml:space="preserve"> in Sudan. Journal of Zoology 160:17–33. </t>
    </r>
  </si>
  <si>
    <t>Cochran, P.A. 1977. Feeding habits and length-weight relationships in Spiny Softshell Turtles from selected areas of Pools 5, 5A, and 6 of the upper Mississippi River. Undergraduate thesis, St. Marys College, Winona, Minnesota.</t>
  </si>
  <si>
    <r>
      <t xml:space="preserve">Crucitti, P. and L. Tringali. 1986. The genus </t>
    </r>
    <r>
      <rPr>
        <i/>
        <sz val="12"/>
        <color rgb="FF000000"/>
        <rFont val="Times New Roman"/>
        <family val="1"/>
      </rPr>
      <t xml:space="preserve">Testudo </t>
    </r>
    <r>
      <rPr>
        <sz val="12"/>
        <color rgb="FF000000"/>
        <rFont val="Times New Roman"/>
        <family val="1"/>
      </rPr>
      <t xml:space="preserve">in Greece Reptilia Testudines Testudinidae [Italian].  Ist. Lombardo Accad. Sci. Lett. Rend. Sci. Chim. Fisiche Geol. Biol. Med. B 120:27-44. </t>
    </r>
  </si>
  <si>
    <r>
      <t xml:space="preserve">De la Ossa Velasquez, J.L. 2007. Ecologia e conervação de </t>
    </r>
    <r>
      <rPr>
        <i/>
        <sz val="12"/>
        <color rgb="FF000000"/>
        <rFont val="Times New Roman"/>
        <family val="1"/>
      </rPr>
      <t>Peltocephalus dumerilianus</t>
    </r>
    <r>
      <rPr>
        <sz val="12"/>
        <color rgb="FF000000"/>
        <rFont val="Times New Roman"/>
        <family val="1"/>
      </rPr>
      <t xml:space="preserve"> (Testudines Podocnemididae) em Barcelos, Amazona, Brasil. Thesis, INPA-Universidade Federal do Amazonas, Manaus, Brasil.</t>
    </r>
  </si>
  <si>
    <t>Deraniyagala, P.E.P. 1939. The Tetrapod Reptiles of Ceylon. Volume 1. Testudinates and Crocodilians. London: Dulau Co., 412 pp.</t>
  </si>
  <si>
    <t>De Silva, A., M. Vamberger, S. Karunarathna, K. Ukuwela, K.G.S. Weerasinghe, M.A.C.W. Bandara,P. de Silva, and B. Ranasinghe. 2022. The last chance: Temple and privately owned ponds as an alternative for conservation of freshwater terrapins in Sri Lanka: preliminary observations. Wildlanka 10(2):101–108.</t>
  </si>
  <si>
    <r>
      <t xml:space="preserve">Dodd, C. K., Jr., K.M. Enger, and J.N. Stuart. 1988. Aspects of the biology of the flattened musk turtle, </t>
    </r>
    <r>
      <rPr>
        <i/>
        <sz val="12"/>
        <color rgb="FF000000"/>
        <rFont val="Times New Roman"/>
        <family val="1"/>
      </rPr>
      <t>Sternotherus depressus</t>
    </r>
    <r>
      <rPr>
        <sz val="12"/>
        <color rgb="FF000000"/>
        <rFont val="Times New Roman"/>
        <family val="1"/>
      </rPr>
      <t>, in northern Alabama. Bull. Florida St. Mus. Biol. Sci. 34(1):1–64.</t>
    </r>
  </si>
  <si>
    <r>
      <t>Dreslik, M.J., J.L. Carr, D.B. Ligon, and E.J. Kessler. 2017. Recovery of the Alligator Snapping Turtle (</t>
    </r>
    <r>
      <rPr>
        <i/>
        <sz val="12"/>
        <color rgb="FF000000"/>
        <rFont val="Times New Roman"/>
        <family val="1"/>
      </rPr>
      <t>Macrochelys temminckii</t>
    </r>
    <r>
      <rPr>
        <sz val="12"/>
        <color rgb="FF000000"/>
        <rFont val="Times New Roman"/>
        <family val="1"/>
      </rPr>
      <t>) in the Mississippi River Valley drainages of Southern Illinois, Oklahoma, and Louisiana. Illinois Natural History Survey Prairie Research Institute. 59 pp.</t>
    </r>
  </si>
  <si>
    <t>Dunson, W.A. 1967. Relationship between length and weight in the spiny softshell turtle. Copeia 1967(2):483–485.</t>
  </si>
  <si>
    <r>
      <t xml:space="preserve">Dunson, W.A. (1981). Behavioral osmoregulation in the key mud turtle, </t>
    </r>
    <r>
      <rPr>
        <i/>
        <sz val="12"/>
        <color rgb="FF000000"/>
        <rFont val="Times New Roman"/>
        <family val="1"/>
      </rPr>
      <t>Kinosternon b. baurii</t>
    </r>
    <r>
      <rPr>
        <sz val="12"/>
        <color rgb="FF000000"/>
        <rFont val="Times New Roman"/>
        <family val="1"/>
      </rPr>
      <t>. Journal of Herpetology 15(2):163–173.</t>
    </r>
  </si>
  <si>
    <r>
      <t>Eguchi, T., J.A. Seminoff, R.A. LeRoux, D. Prosperi, D.L. Dutton, and P.H. Dutton. 2012. Morphology and growth rates of the Green Sea Turtle (</t>
    </r>
    <r>
      <rPr>
        <i/>
        <sz val="12"/>
        <color rgb="FF000000"/>
        <rFont val="Times New Roman"/>
        <family val="1"/>
      </rPr>
      <t>Chelonia mydas</t>
    </r>
    <r>
      <rPr>
        <sz val="12"/>
        <color rgb="FF000000"/>
        <rFont val="Times New Roman"/>
        <family val="1"/>
      </rPr>
      <t>) in a northern-most temperate foraging ground. Herpetologica 68:76–87.</t>
    </r>
  </si>
  <si>
    <t>Ehrhart, L. 1978. A continuation of base-line studies for environmentally monitoring Space Transportation Systems (STS) at John F. Kennedy Space Center. Section VI. (Extract):  Threatened and endangered species of the Kennedy Space Center.  Semi-annual Report, NASA, JFK Space Center.  Pp. 490–652.</t>
  </si>
  <si>
    <t>Ehrhart, L.M. and R.G. Yoder. 1978. Marine turtles of Merritt Island National Wildlife Refuge, Kennedy Space Center, Florida. In: Henderson, G.E. Proceedings of the Florida and Interregional Conference on Sea Turtles, 24–25 July 1976, Jensen Beach, Florida. Florida Mar. Res. Publ. 33:25–30.</t>
  </si>
  <si>
    <r>
      <t xml:space="preserve">Etchberger, C.R. 1984. The reproductive biology of </t>
    </r>
    <r>
      <rPr>
        <i/>
        <sz val="12"/>
        <color rgb="FF000000"/>
        <rFont val="Times New Roman"/>
        <family val="1"/>
      </rPr>
      <t>Sternotherus minor minor</t>
    </r>
    <r>
      <rPr>
        <sz val="12"/>
        <color rgb="FF000000"/>
        <rFont val="Times New Roman"/>
        <family val="1"/>
      </rPr>
      <t xml:space="preserve"> (Reptilia: Testudines: Kinosternidae) from the southern part of its range in central Florida. M.S. thesis, University of Central Florida, Orlando.</t>
    </r>
  </si>
  <si>
    <t>Evermann, B.W. and H.W. Clark. 1916. The turtles and batrachians of the Lake Maxinkuckee Region. Proc. Indiana Acad. Sci. 1916:472–518.</t>
  </si>
  <si>
    <r>
      <t xml:space="preserve">Fagundes, C.K., A. Bager, and S.T.Z. Cechin. 2010. </t>
    </r>
    <r>
      <rPr>
        <i/>
        <sz val="12"/>
        <color rgb="FF000000"/>
        <rFont val="Times New Roman"/>
        <family val="1"/>
      </rPr>
      <t>Trachemys dorbigni</t>
    </r>
    <r>
      <rPr>
        <sz val="12"/>
        <color rgb="FF000000"/>
        <rFont val="Times New Roman"/>
        <family val="1"/>
      </rPr>
      <t xml:space="preserve"> in an anthropic environment in southern Brazil: I) Sexual dimorphism and population estimates. Herpetological Journal 20:185–193.</t>
    </r>
  </si>
  <si>
    <r>
      <t xml:space="preserve">Fitch, H.S. and M.V. Plummer. 1975. A preliminary ecological study of the soft-shelled turtle, </t>
    </r>
    <r>
      <rPr>
        <i/>
        <sz val="12"/>
        <color rgb="FF000000"/>
        <rFont val="Times New Roman"/>
        <family val="1"/>
      </rPr>
      <t>Trionyx muticus</t>
    </r>
    <r>
      <rPr>
        <sz val="12"/>
        <color rgb="FF000000"/>
        <rFont val="Times New Roman"/>
        <family val="1"/>
      </rPr>
      <t>, in the Kansas River. Israel Journal of Zoology 24:1–15.</t>
    </r>
  </si>
  <si>
    <r>
      <t xml:space="preserve">Gamboa, A.M.T. 2008. Análise estructural/comportamental da população do Cágado Mediterrânico, </t>
    </r>
    <r>
      <rPr>
        <i/>
        <sz val="12"/>
        <color rgb="FF000000"/>
        <rFont val="Times New Roman"/>
        <family val="1"/>
      </rPr>
      <t>Mauremys leprosa</t>
    </r>
    <r>
      <rPr>
        <sz val="12"/>
        <color rgb="FF000000"/>
        <rFont val="Times New Roman"/>
        <family val="1"/>
      </rPr>
      <t>, na ribeira temporária da Asseca. Dissertation, Universidade do Algarve, Faro, Portugal. 56 pp.</t>
    </r>
  </si>
  <si>
    <r>
      <t xml:space="preserve">Georges, A. 1982. Ecological studies of Krefft's river tortoise, </t>
    </r>
    <r>
      <rPr>
        <i/>
        <sz val="12"/>
        <color rgb="FF000000"/>
        <rFont val="Times New Roman"/>
        <family val="1"/>
      </rPr>
      <t>Emydura krefftii</t>
    </r>
    <r>
      <rPr>
        <sz val="12"/>
        <color rgb="FF000000"/>
        <rFont val="Times New Roman"/>
        <family val="1"/>
      </rPr>
      <t xml:space="preserve"> (Gray), from Fraser Island, Queensland. Ph.D. Thesis, Univ. of Queensland.</t>
    </r>
  </si>
  <si>
    <r>
      <t xml:space="preserve">Georges, A. and R. Kennett. 1989. Dry-season distribution and ecology of </t>
    </r>
    <r>
      <rPr>
        <i/>
        <sz val="12"/>
        <color rgb="FF000000"/>
        <rFont val="Times New Roman"/>
        <family val="1"/>
      </rPr>
      <t>Carettochelys insculpta</t>
    </r>
    <r>
      <rPr>
        <sz val="12"/>
        <color rgb="FF000000"/>
        <rFont val="Times New Roman"/>
        <family val="1"/>
      </rPr>
      <t xml:space="preserve"> (Chelonia: Carettochelydidae) in Kakadu National Park, Northern Australia. Australian Wildlife Research 16:323–335. </t>
    </r>
  </si>
  <si>
    <r>
      <t xml:space="preserve">Germano, D.J. 2016. The ecology of a robust population of </t>
    </r>
    <r>
      <rPr>
        <i/>
        <sz val="12"/>
        <color rgb="FF000000"/>
        <rFont val="Times New Roman"/>
        <family val="1"/>
      </rPr>
      <t>Actinemys marmorata</t>
    </r>
    <r>
      <rPr>
        <sz val="12"/>
        <color rgb="FF000000"/>
        <rFont val="Times New Roman"/>
        <family val="1"/>
      </rPr>
      <t xml:space="preserve"> in the San Joaquin Desert of California. Copeia 104:663–676.</t>
    </r>
  </si>
  <si>
    <r>
      <t>Giraldo, A. M.F. Garcés-Restrepo, J.L. Carr, and J. Loaiza. 2012. Tamaño y estructura poblacional de la Tortuga Sabaletera (</t>
    </r>
    <r>
      <rPr>
        <i/>
        <sz val="12"/>
        <color rgb="FF000000"/>
        <rFont val="Times New Roman"/>
        <family val="1"/>
      </rPr>
      <t>Rhinoclemmys nasuta</t>
    </r>
    <r>
      <rPr>
        <sz val="12"/>
        <color rgb="FF000000"/>
        <rFont val="Times New Roman"/>
        <family val="1"/>
      </rPr>
      <t>, Testudines: Geoemydidae) en un ambiente insular del Pacífico colombiano. Caldasia 34(1):109–125 </t>
    </r>
  </si>
  <si>
    <r>
      <t xml:space="preserve">Goin, C J. and C.C. Goff. 1941. Notes on the growth rate of the gopher turtle, </t>
    </r>
    <r>
      <rPr>
        <i/>
        <sz val="12"/>
        <color rgb="FF000000"/>
        <rFont val="Times New Roman"/>
        <family val="1"/>
      </rPr>
      <t>Gopherus polyphemus</t>
    </r>
    <r>
      <rPr>
        <sz val="12"/>
        <color rgb="FF000000"/>
        <rFont val="Times New Roman"/>
        <family val="1"/>
      </rPr>
      <t>. Herpetologica 2(3):66–68.</t>
    </r>
  </si>
  <si>
    <r>
      <t>Gong, S. 2019. Unique multiple paternity in the endangered Big-headed Turtle (</t>
    </r>
    <r>
      <rPr>
        <i/>
        <sz val="12"/>
        <color rgb="FF000000"/>
        <rFont val="Times New Roman"/>
        <family val="1"/>
      </rPr>
      <t>Platysternon megacephalum</t>
    </r>
    <r>
      <rPr>
        <sz val="12"/>
        <color rgb="FF000000"/>
        <rFont val="Times New Roman"/>
        <family val="1"/>
      </rPr>
      <t>) in an ex situ population in South China. Ecology and Evolution 9:9869–9877.</t>
    </r>
  </si>
  <si>
    <r>
      <t xml:space="preserve">Graham, T. E. 1971. Growth rate of the Red-Bellied Turtle, </t>
    </r>
    <r>
      <rPr>
        <i/>
        <sz val="12"/>
        <color rgb="FF000000"/>
        <rFont val="Times New Roman"/>
        <family val="1"/>
      </rPr>
      <t>Chrysemys rubriventris</t>
    </r>
    <r>
      <rPr>
        <sz val="12"/>
        <color rgb="FF000000"/>
        <rFont val="Times New Roman"/>
        <family val="1"/>
      </rPr>
      <t>, at Plymouth, Massachusetts. Copeia 1971:353–356.</t>
    </r>
  </si>
  <si>
    <r>
      <t>Gramentz, D. 2005.  Die Nilweichschildkröte:</t>
    </r>
    <r>
      <rPr>
        <i/>
        <sz val="12"/>
        <color rgb="FF000000"/>
        <rFont val="Times New Roman"/>
        <family val="1"/>
      </rPr>
      <t xml:space="preserve"> Trionyx triunguis.</t>
    </r>
    <r>
      <rPr>
        <sz val="12"/>
        <color rgb="FF000000"/>
        <rFont val="Times New Roman"/>
        <family val="1"/>
      </rPr>
      <t xml:space="preserve"> Frankfurt am Main: Edition Chimaira, 166 pp.</t>
    </r>
  </si>
  <si>
    <r>
      <t xml:space="preserve">Gramentz, D. 2008. African Flapshell Turtles—The Genera </t>
    </r>
    <r>
      <rPr>
        <i/>
        <sz val="12"/>
        <color rgb="FF000000"/>
        <rFont val="Times New Roman"/>
        <family val="1"/>
      </rPr>
      <t>Cyclanorbis</t>
    </r>
    <r>
      <rPr>
        <sz val="12"/>
        <color rgb="FF000000"/>
        <rFont val="Times New Roman"/>
        <family val="1"/>
      </rPr>
      <t xml:space="preserve"> and </t>
    </r>
    <r>
      <rPr>
        <i/>
        <sz val="12"/>
        <color rgb="FF000000"/>
        <rFont val="Times New Roman"/>
        <family val="1"/>
      </rPr>
      <t>Cycloderma</t>
    </r>
    <r>
      <rPr>
        <sz val="12"/>
        <color rgb="FF000000"/>
        <rFont val="Times New Roman"/>
        <family val="1"/>
      </rPr>
      <t>. Frankfurt: Edition Chimaira, 191 pp.</t>
    </r>
  </si>
  <si>
    <t>Grossman, W. 2004. Contribution to the knowledge about the tortoises and freshwater turtles of the Khoao Lak, Phang Nga province, southern Thailand. Radiata 13(3):25–34.</t>
  </si>
  <si>
    <t xml:space="preserve">Grubb, P. 1971. The growth, ecology and population structure of giant tortoises on Aldabra. Philosophical Transactions of the Royal Society of London B 260:327–372. </t>
  </si>
  <si>
    <r>
      <t xml:space="preserve">Hailey, A. 2000. Assessing body mass condition in the tortoise </t>
    </r>
    <r>
      <rPr>
        <i/>
        <sz val="12"/>
        <color rgb="FF000000"/>
        <rFont val="Times New Roman"/>
        <family val="1"/>
      </rPr>
      <t>Testudo hermanni</t>
    </r>
    <r>
      <rPr>
        <sz val="12"/>
        <color rgb="FF000000"/>
        <rFont val="Times New Roman"/>
        <family val="1"/>
      </rPr>
      <t>. Herpetological Journal 10:57–61.</t>
    </r>
  </si>
  <si>
    <r>
      <t>Hays, G.C. 2001. The implications of adult morphology for clutch size in the Flatback Turtle (</t>
    </r>
    <r>
      <rPr>
        <i/>
        <sz val="12"/>
        <color rgb="FF000000"/>
        <rFont val="Times New Roman"/>
        <family val="1"/>
      </rPr>
      <t>Natator depressa</t>
    </r>
    <r>
      <rPr>
        <sz val="12"/>
        <color rgb="FF000000"/>
        <rFont val="Times New Roman"/>
        <family val="1"/>
      </rPr>
      <t>). Journal of the Marine Biology Association of the United Kingdom 81:1063–1064.</t>
    </r>
  </si>
  <si>
    <r>
      <t xml:space="preserve">Hendrickson, J. R. 1958. The green sea turtle, </t>
    </r>
    <r>
      <rPr>
        <i/>
        <sz val="12"/>
        <color rgb="FF000000"/>
        <rFont val="Times New Roman"/>
        <family val="1"/>
      </rPr>
      <t>Chelonia mydas</t>
    </r>
    <r>
      <rPr>
        <sz val="12"/>
        <color rgb="FF000000"/>
        <rFont val="Times New Roman"/>
        <family val="1"/>
      </rPr>
      <t xml:space="preserve"> (Linn.) in Malaya and Sarawak. Proceedings of the Zoological Society of London 130:455–535.</t>
    </r>
  </si>
  <si>
    <r>
      <t>Hine, M.L. 1982. Notes on the Marginated Tortoise (</t>
    </r>
    <r>
      <rPr>
        <i/>
        <sz val="12"/>
        <color rgb="FF000000"/>
        <rFont val="Times New Roman"/>
        <family val="1"/>
      </rPr>
      <t>Testudo marginata</t>
    </r>
    <r>
      <rPr>
        <sz val="12"/>
        <color rgb="FF000000"/>
        <rFont val="Times New Roman"/>
        <family val="1"/>
      </rPr>
      <t>) in Greece and in captivity. British Herpetological Society Bulletin 5:35–38.</t>
    </r>
  </si>
  <si>
    <r>
      <t xml:space="preserve">Hirth, H.F. 1980. Morphometrics of the Spurred Tortoise, </t>
    </r>
    <r>
      <rPr>
        <i/>
        <sz val="12"/>
        <color rgb="FF000000"/>
        <rFont val="Times New Roman"/>
        <family val="1"/>
      </rPr>
      <t>Geochelone sulcata</t>
    </r>
    <r>
      <rPr>
        <sz val="12"/>
        <color rgb="FF000000"/>
        <rFont val="Times New Roman"/>
        <family val="1"/>
      </rPr>
      <t xml:space="preserve">, in the Sudan. Journal of Herpetology 15:120–121. </t>
    </r>
  </si>
  <si>
    <t>Hirth, H.F. 1982. Weight and length relationships of some adult marine turtles. Bulletin of Marine Science 32:336–341.</t>
  </si>
  <si>
    <t>Hirth, H.F. and A. Carr. 1970. The green turtle in the Gulf of Aden and the Seychelles Islands. Verhand. Konink. Nederl. Akad. Weten. Natur. 58:1–44.</t>
  </si>
  <si>
    <t>Høybye-Mortensen, K. 2004. The tortoise Manouria emys emys: behavior and habitat in the wild. MSc. Thesis. University of Southern Denmark.</t>
  </si>
  <si>
    <t>Hughes, G. R., A.J. Bass and M.T. Mentis. 1967. Further studies on marine turtles in Tongaland, I. Lammergeyer 7:5–54.</t>
  </si>
  <si>
    <r>
      <t xml:space="preserve">Humair, R. 2013. Dimension and weights of South Americans Yellow-footed Tortoises, </t>
    </r>
    <r>
      <rPr>
        <i/>
        <sz val="12"/>
        <color rgb="FF000000"/>
        <rFont val="Times New Roman"/>
        <family val="1"/>
      </rPr>
      <t>Chelonoidis denticulata</t>
    </r>
    <r>
      <rPr>
        <sz val="12"/>
        <color rgb="FF000000"/>
        <rFont val="Times New Roman"/>
        <family val="1"/>
      </rPr>
      <t xml:space="preserve"> (Linnaeus, 1766) in Nature and Human Care. Radiata 22(4):21–30.</t>
    </r>
  </si>
  <si>
    <t>Iverson, J.B. 1984. Proportional skeletal mass in turtles. Florida Scientist 47(1):1–11.</t>
  </si>
  <si>
    <r>
      <t>Iverson, J.B. 1989. Distribution and status of Creaser's mud turtle (</t>
    </r>
    <r>
      <rPr>
        <i/>
        <sz val="12"/>
        <color rgb="FF000000"/>
        <rFont val="Times New Roman"/>
        <family val="1"/>
      </rPr>
      <t>Kinosternon creaseri</t>
    </r>
    <r>
      <rPr>
        <sz val="12"/>
        <color rgb="FF000000"/>
        <rFont val="Times New Roman"/>
        <family val="1"/>
      </rPr>
      <t>). Herpetological Journal 1:285–291.</t>
    </r>
  </si>
  <si>
    <r>
      <t xml:space="preserve">Iverson, J.B. 1991. Life history and demography of the yellow mud turtle, </t>
    </r>
    <r>
      <rPr>
        <i/>
        <sz val="12"/>
        <color rgb="FF000000"/>
        <rFont val="Times New Roman"/>
        <family val="1"/>
      </rPr>
      <t>Kinosternon flavescens.</t>
    </r>
    <r>
      <rPr>
        <sz val="12"/>
        <color rgb="FF000000"/>
        <rFont val="Times New Roman"/>
        <family val="1"/>
      </rPr>
      <t xml:space="preserve"> Herpetologica 47:371–393.</t>
    </r>
  </si>
  <si>
    <t>Iverson, J.B. 1992. Correlates of reproductive output in turtles (Order Testudines). Herpetological Monographs 6:25–42.</t>
  </si>
  <si>
    <r>
      <t xml:space="preserve">Iverson, J.B. 1999. Reproduction in the Mexican mud turtle </t>
    </r>
    <r>
      <rPr>
        <i/>
        <sz val="12"/>
        <color rgb="FF000000"/>
        <rFont val="Times New Roman"/>
        <family val="1"/>
      </rPr>
      <t>Kinosternon integrum</t>
    </r>
    <r>
      <rPr>
        <sz val="12"/>
        <color rgb="FF000000"/>
        <rFont val="Times New Roman"/>
        <family val="1"/>
      </rPr>
      <t>. Journal of Herpetology 33:145–149.</t>
    </r>
  </si>
  <si>
    <r>
      <t>Iverson, J.B. 2002. Reproduction in female razorback musk turtles (</t>
    </r>
    <r>
      <rPr>
        <i/>
        <sz val="12"/>
        <color rgb="FF000000"/>
        <rFont val="Times New Roman"/>
        <family val="1"/>
      </rPr>
      <t>Sternotherus carinatus</t>
    </r>
    <r>
      <rPr>
        <sz val="12"/>
        <color rgb="FF000000"/>
        <rFont val="Times New Roman"/>
        <family val="1"/>
      </rPr>
      <t>: Kinosternidae). Southwestern Naturalist 47:215–224</t>
    </r>
  </si>
  <si>
    <r>
      <t>Iverson, J.B.  2010.  Reproduction in the Red-Cheeked Mud Turtle (</t>
    </r>
    <r>
      <rPr>
        <i/>
        <sz val="12"/>
        <color rgb="FF000000"/>
        <rFont val="Times New Roman"/>
        <family val="1"/>
      </rPr>
      <t>Kinosternon scorpioides cruentatum</t>
    </r>
    <r>
      <rPr>
        <sz val="12"/>
        <color rgb="FF000000"/>
        <rFont val="Times New Roman"/>
        <family val="1"/>
      </rPr>
      <t>) in southeastern Mexico and Belize, with comparisons across the species range. Chelonian Conservation and Biology 9:250–261.</t>
    </r>
  </si>
  <si>
    <r>
      <t>Iverson, J.B. and P.E. Moler. 1997. The female reproductive cycle of the Florida Softshell Turtle (</t>
    </r>
    <r>
      <rPr>
        <i/>
        <sz val="12"/>
        <color rgb="FF000000"/>
        <rFont val="Times New Roman"/>
        <family val="1"/>
      </rPr>
      <t>Apalone ferox</t>
    </r>
    <r>
      <rPr>
        <sz val="12"/>
        <color rgb="FF000000"/>
        <rFont val="Times New Roman"/>
        <family val="1"/>
      </rPr>
      <t>). Journal of Herpetology 31:399–409.</t>
    </r>
  </si>
  <si>
    <r>
      <t>Iverson, J.B., and G.R. Smith. 1993.  Reproductive ecology of the painted turtle (</t>
    </r>
    <r>
      <rPr>
        <i/>
        <sz val="12"/>
        <color rgb="FF000000"/>
        <rFont val="Times New Roman"/>
        <family val="1"/>
      </rPr>
      <t>Chrysemys picta</t>
    </r>
    <r>
      <rPr>
        <sz val="12"/>
        <color rgb="FF000000"/>
        <rFont val="Times New Roman"/>
        <family val="1"/>
      </rPr>
      <t xml:space="preserve">) in the Nebraska Sandhills. Copeia 1993:1–21. </t>
    </r>
  </si>
  <si>
    <r>
      <t xml:space="preserve">Iverson, J.B., C. deRivera, E. Barthelmess, and G.R. Smith. 1991. Growth and reproduction in the mud turtle </t>
    </r>
    <r>
      <rPr>
        <i/>
        <sz val="12"/>
        <color rgb="FF000000"/>
        <rFont val="Times New Roman"/>
        <family val="1"/>
      </rPr>
      <t>Kinosternon hirtipes</t>
    </r>
    <r>
      <rPr>
        <sz val="12"/>
        <color rgb="FF000000"/>
        <rFont val="Times New Roman"/>
        <family val="1"/>
      </rPr>
      <t xml:space="preserve"> in Chihuahua, Mexico. Journal of Herpetology 25:64–72.</t>
    </r>
  </si>
  <si>
    <r>
      <t>Iverson, J. B., C. Griffiths, H. Higgins, and A. G. Sirulnik. 1997. Local and geographic variation in the reproductive biology of the snapping turtle (</t>
    </r>
    <r>
      <rPr>
        <i/>
        <sz val="12"/>
        <color rgb="FF000000"/>
        <rFont val="Times New Roman"/>
        <family val="1"/>
      </rPr>
      <t>Chelydra serpentina</t>
    </r>
    <r>
      <rPr>
        <sz val="12"/>
        <color rgb="FF000000"/>
        <rFont val="Times New Roman"/>
        <family val="1"/>
      </rPr>
      <t xml:space="preserve">).  Herpetologica 53:96–117. </t>
    </r>
  </si>
  <si>
    <r>
      <t>Iverson, J.B., G.R. Smith, and J.E. Rettig.  2019.  Body size, growth, and longevity in the Northern Map Turtle (</t>
    </r>
    <r>
      <rPr>
        <i/>
        <sz val="12"/>
        <color rgb="FF000000"/>
        <rFont val="Times New Roman"/>
        <family val="1"/>
      </rPr>
      <t>Graptemys geographica</t>
    </r>
    <r>
      <rPr>
        <sz val="12"/>
        <color rgb="FF000000"/>
        <rFont val="Times New Roman"/>
        <family val="1"/>
      </rPr>
      <t>) in Indiana.  Journal of Herpetology 53:297–301.</t>
    </r>
  </si>
  <si>
    <r>
      <t>Jackson, O.F. 1980. Weight and measurement data on tortoises (</t>
    </r>
    <r>
      <rPr>
        <i/>
        <sz val="12"/>
        <color rgb="FF000000"/>
        <rFont val="Times New Roman"/>
        <family val="1"/>
      </rPr>
      <t>Testudo graeca</t>
    </r>
    <r>
      <rPr>
        <sz val="12"/>
        <color rgb="FF000000"/>
        <rFont val="Times New Roman"/>
        <family val="1"/>
      </rPr>
      <t xml:space="preserve"> and </t>
    </r>
    <r>
      <rPr>
        <i/>
        <sz val="12"/>
        <color rgb="FF000000"/>
        <rFont val="Times New Roman"/>
        <family val="1"/>
      </rPr>
      <t>Testudo</t>
    </r>
    <r>
      <rPr>
        <sz val="12"/>
        <color rgb="FF000000"/>
        <rFont val="Times New Roman"/>
        <family val="1"/>
      </rPr>
      <t xml:space="preserve"> </t>
    </r>
    <r>
      <rPr>
        <i/>
        <sz val="12"/>
        <color rgb="FF000000"/>
        <rFont val="Times New Roman"/>
        <family val="1"/>
      </rPr>
      <t>hermanni</t>
    </r>
    <r>
      <rPr>
        <sz val="12"/>
        <color rgb="FF000000"/>
        <rFont val="Times New Roman"/>
        <family val="1"/>
      </rPr>
      <t>) and their relationship to health. Journal of Small Animal Practice 21:409–416.</t>
    </r>
  </si>
  <si>
    <r>
      <t xml:space="preserve">Jayakar, S.D. and H. Spurway. 1969. Seasonally fluctuating allometric coefficients in </t>
    </r>
    <r>
      <rPr>
        <i/>
        <sz val="12"/>
        <color rgb="FF000000"/>
        <rFont val="Times New Roman"/>
        <family val="1"/>
      </rPr>
      <t>Testudo elegans</t>
    </r>
    <r>
      <rPr>
        <sz val="12"/>
        <color rgb="FF000000"/>
        <rFont val="Times New Roman"/>
        <family val="1"/>
      </rPr>
      <t xml:space="preserve"> Schoepff. Forma and Functio 1:145–152.</t>
    </r>
  </si>
  <si>
    <r>
      <t>Kabigumila, J. 2002. Morphometrics of the Pancake Tortoise (</t>
    </r>
    <r>
      <rPr>
        <i/>
        <sz val="12"/>
        <color rgb="FF000000"/>
        <rFont val="Times New Roman"/>
        <family val="1"/>
      </rPr>
      <t>Malacochersus tornieri</t>
    </r>
    <r>
      <rPr>
        <sz val="12"/>
        <color rgb="FF000000"/>
        <rFont val="Times New Roman"/>
        <family val="1"/>
      </rPr>
      <t>) in Tanzania. Tanzanian Journal of Science 28(2):33–46.</t>
    </r>
  </si>
  <si>
    <r>
      <t>Kiester, A.R., Juvik, J.O., Baard, E.H.W., and Hofmwyer, M.D. 2023. Management of a Geometric Tortoise (</t>
    </r>
    <r>
      <rPr>
        <i/>
        <sz val="12"/>
        <color rgb="FF000000"/>
        <rFont val="Times New Roman"/>
        <family val="1"/>
      </rPr>
      <t>Psammobates geometricus</t>
    </r>
    <r>
      <rPr>
        <sz val="12"/>
        <color rgb="FF000000"/>
        <rFont val="Times New Roman"/>
        <family val="1"/>
      </rPr>
      <t>) population in a high-risk, fie-prone landscape. Chelonian Conservation and Biology 22:xx-xx.</t>
    </r>
  </si>
  <si>
    <r>
      <t>Kong, F., Q. Zhu, F. Xiao, Z. Hong, H. Zhang, and H. Shi. 2021. Home ranges and movement patterns of the Chinese Softshell Tortoise (</t>
    </r>
    <r>
      <rPr>
        <i/>
        <sz val="12"/>
        <color rgb="FF000000"/>
        <rFont val="Times New Roman"/>
        <family val="1"/>
      </rPr>
      <t>Pelodiscus sinensis</t>
    </r>
    <r>
      <rPr>
        <sz val="12"/>
        <color rgb="FF000000"/>
        <rFont val="Times New Roman"/>
        <family val="1"/>
      </rPr>
      <t xml:space="preserve">) in the Yellow River, northwestern China. Chelonian Conservation and Biology 20:2–9. </t>
    </r>
  </si>
  <si>
    <r>
      <t xml:space="preserve">Kuchling, G. 1986. Biology of </t>
    </r>
    <r>
      <rPr>
        <i/>
        <sz val="12"/>
        <color rgb="FF000000"/>
        <rFont val="Times New Roman"/>
        <family val="1"/>
      </rPr>
      <t>Kinixys belliana</t>
    </r>
    <r>
      <rPr>
        <sz val="12"/>
        <color rgb="FF000000"/>
        <rFont val="Times New Roman"/>
        <family val="1"/>
      </rPr>
      <t xml:space="preserve"> at Nosy Faly, Madagascar. Studies of Herpetology 435–440. </t>
    </r>
  </si>
  <si>
    <r>
      <t xml:space="preserve">Kuchling, G. 1988. Population structure, reproductive potential and increasing exploitation of the Freshwater Turtle </t>
    </r>
    <r>
      <rPr>
        <i/>
        <sz val="12"/>
        <color rgb="FF000000"/>
        <rFont val="Times New Roman"/>
        <family val="1"/>
      </rPr>
      <t>Erymnochelys madagascariensis</t>
    </r>
    <r>
      <rPr>
        <sz val="12"/>
        <color rgb="FF000000"/>
        <rFont val="Times New Roman"/>
        <family val="1"/>
      </rPr>
      <t>. Biological Conservation 43:107–113.</t>
    </r>
  </si>
  <si>
    <r>
      <t xml:space="preserve">Kuchling, G. 2002. Zucht der Schmalbrust-Schlangenschildkröte </t>
    </r>
    <r>
      <rPr>
        <i/>
        <sz val="12"/>
        <color rgb="FF000000"/>
        <rFont val="Times New Roman"/>
        <family val="1"/>
      </rPr>
      <t>Chelodina oblonga</t>
    </r>
    <r>
      <rPr>
        <sz val="12"/>
        <color rgb="FF000000"/>
        <rFont val="Times New Roman"/>
        <family val="1"/>
      </rPr>
      <t xml:space="preserve"> in West-Australien. Emys 9(6):4–17.</t>
    </r>
  </si>
  <si>
    <r>
      <t xml:space="preserve">Kumar, R.S., A. Harihar, and B. Pandav. 2010. Population characteristics of a terrestrial geoemydid, </t>
    </r>
    <r>
      <rPr>
        <i/>
        <sz val="12"/>
        <color rgb="FF000000"/>
        <rFont val="Times New Roman"/>
        <family val="1"/>
      </rPr>
      <t>Melanochelys tricarinata</t>
    </r>
    <r>
      <rPr>
        <sz val="12"/>
        <color rgb="FF000000"/>
        <rFont val="Times New Roman"/>
        <family val="1"/>
      </rPr>
      <t xml:space="preserve">, from the Doon Valley, northern India. Herpetological Journal 20:139–146. </t>
    </r>
  </si>
  <si>
    <r>
      <t xml:space="preserve">Lagler, K.F. and V.C. Applegate. 1943. Relationship between the length and the weight in the snapping turtle, </t>
    </r>
    <r>
      <rPr>
        <i/>
        <sz val="12"/>
        <color rgb="FF000000"/>
        <rFont val="Times New Roman"/>
        <family val="1"/>
      </rPr>
      <t>Chelydra serpentina</t>
    </r>
    <r>
      <rPr>
        <sz val="12"/>
        <color rgb="FF000000"/>
        <rFont val="Times New Roman"/>
        <family val="1"/>
      </rPr>
      <t xml:space="preserve">  Linnaeus. American Naturalist 77:476–478.</t>
    </r>
  </si>
  <si>
    <r>
      <t xml:space="preserve">Lamar, W.W. and F. Medem. 1982. Notes on the chelid turtle </t>
    </r>
    <r>
      <rPr>
        <i/>
        <sz val="12"/>
        <color rgb="FF000000"/>
        <rFont val="Times New Roman"/>
        <family val="1"/>
      </rPr>
      <t>Phrynops rufipes</t>
    </r>
    <r>
      <rPr>
        <sz val="12"/>
        <color rgb="FF000000"/>
        <rFont val="Times New Roman"/>
        <family val="1"/>
      </rPr>
      <t xml:space="preserve"> in Colombia (Reptilia: Testudines: Chelidae). Salamandra 18:305–321.</t>
    </r>
  </si>
  <si>
    <r>
      <t xml:space="preserve">Lambert, M.R.K. 1982. Studies on the growth, structure, and abundance of the Mediterranean Spur-thighed Tortoise, </t>
    </r>
    <r>
      <rPr>
        <i/>
        <sz val="12"/>
        <color rgb="FF000000"/>
        <rFont val="Times New Roman"/>
        <family val="1"/>
      </rPr>
      <t>Testudo graeca</t>
    </r>
    <r>
      <rPr>
        <sz val="12"/>
        <color rgb="FF000000"/>
        <rFont val="Times New Roman"/>
        <family val="1"/>
      </rPr>
      <t xml:space="preserve"> in field populations. Journal of Zoology 196:165–189.</t>
    </r>
  </si>
  <si>
    <r>
      <t xml:space="preserve">Lambert, M.R.K. 1993. On growth, sexual dimorphism, and the general ecology of the African Spurred Tortoise, </t>
    </r>
    <r>
      <rPr>
        <i/>
        <sz val="12"/>
        <color rgb="FF000000"/>
        <rFont val="Times New Roman"/>
        <family val="1"/>
      </rPr>
      <t>Geochelone sulcata</t>
    </r>
    <r>
      <rPr>
        <sz val="12"/>
        <color rgb="FF000000"/>
        <rFont val="Times New Roman"/>
        <family val="1"/>
      </rPr>
      <t>, in Mali. Chelonian Conservation and Biology 1(1):37–46.</t>
    </r>
  </si>
  <si>
    <r>
      <t xml:space="preserve">Lambert, M.R.K. 1995. On general biology and utilization of the African Spurred Tortoise, </t>
    </r>
    <r>
      <rPr>
        <i/>
        <sz val="12"/>
        <color rgb="FF000000"/>
        <rFont val="Times New Roman"/>
        <family val="1"/>
      </rPr>
      <t>Geochelone sulcata</t>
    </r>
    <r>
      <rPr>
        <sz val="12"/>
        <color rgb="FF000000"/>
        <rFont val="Times New Roman"/>
        <family val="1"/>
      </rPr>
      <t>, in Mali, West Africa. International Congress of Chelonian Conservation, Gonfaron, France. Pp. 112–114.</t>
    </r>
  </si>
  <si>
    <r>
      <t xml:space="preserve">Lambert, M.R.K. 1995. On geographical size variation and utilization of the Leopard Tortoise, </t>
    </r>
    <r>
      <rPr>
        <i/>
        <sz val="12"/>
        <color rgb="FF000000"/>
        <rFont val="Times New Roman"/>
        <family val="1"/>
      </rPr>
      <t>Geochelone pardalis</t>
    </r>
    <r>
      <rPr>
        <sz val="12"/>
        <color rgb="FF000000"/>
        <rFont val="Times New Roman"/>
        <family val="1"/>
      </rPr>
      <t>, in Subsaharan Africa. International Congress of Chelonian Conservation, Gonfaron, France. Pp. 115–117.</t>
    </r>
  </si>
  <si>
    <r>
      <t xml:space="preserve">Lambert, M.R.K. 1995. On geographical size variation, growth, and sexual dimorphism of the Leopard Tortoise, </t>
    </r>
    <r>
      <rPr>
        <i/>
        <sz val="12"/>
        <color rgb="FF000000"/>
        <rFont val="Times New Roman"/>
        <family val="1"/>
      </rPr>
      <t>Geochelone pardalis</t>
    </r>
    <r>
      <rPr>
        <sz val="12"/>
        <color rgb="FF000000"/>
        <rFont val="Times New Roman"/>
        <family val="1"/>
      </rPr>
      <t>, in Somaliland. Chelonian Conservation and Biology 1(4):269–278.</t>
    </r>
  </si>
  <si>
    <r>
      <t>Lambert, M.R.K., P.W.P. Collins, and P.A. Evans. 1988. Report on growth and survivorship of home-bred Mediterranean Tortoises (</t>
    </r>
    <r>
      <rPr>
        <i/>
        <sz val="12"/>
        <color rgb="FF000000"/>
        <rFont val="Times New Roman"/>
        <family val="1"/>
      </rPr>
      <t>Testudo</t>
    </r>
    <r>
      <rPr>
        <sz val="12"/>
        <color rgb="FF000000"/>
        <rFont val="Times New Roman"/>
        <family val="1"/>
      </rPr>
      <t>) in southern England. Testudo (British Chelonia Group) 2(6):31–56.</t>
    </r>
  </si>
  <si>
    <r>
      <t xml:space="preserve">Lamprecht, J, and P. Praschag. 2023. Research on reproductive ecology and habitat use of </t>
    </r>
    <r>
      <rPr>
        <i/>
        <sz val="12"/>
        <color rgb="FF000000"/>
        <rFont val="Times New Roman"/>
        <family val="1"/>
      </rPr>
      <t>Acanthochelys pallidipectoris</t>
    </r>
    <r>
      <rPr>
        <sz val="12"/>
        <color rgb="FF000000"/>
        <rFont val="Times New Roman"/>
        <family val="1"/>
      </rPr>
      <t xml:space="preserve"> in the Dry Chaco for improving conservation strategies. Turtle Conservation Fund. Final Report. 41 pp.</t>
    </r>
  </si>
  <si>
    <r>
      <t xml:space="preserve">Leslie, A. J., D.N. Penick, J.R. Spotila, and F.V. Paladino. 1996. Leatherback turtle, </t>
    </r>
    <r>
      <rPr>
        <i/>
        <sz val="12"/>
        <color rgb="FF000000"/>
        <rFont val="Times New Roman"/>
        <family val="1"/>
      </rPr>
      <t>Dermochelys coriacea</t>
    </r>
    <r>
      <rPr>
        <sz val="12"/>
        <color rgb="FF000000"/>
        <rFont val="Times New Roman"/>
        <family val="1"/>
      </rPr>
      <t>, nesting and nest success at Tortuguero, Costa Rica, 1990–1991. Chelonian Conservation and Biology 2(2):159–168.</t>
    </r>
  </si>
  <si>
    <r>
      <t xml:space="preserve">Leuteritz, T. E. J. 2002. Distribution, status, and reproductive biology of the Radiated Tortoise, </t>
    </r>
    <r>
      <rPr>
        <i/>
        <sz val="12"/>
        <color rgb="FF000000"/>
        <rFont val="Times New Roman"/>
        <family val="1"/>
      </rPr>
      <t>Geochelone radiata</t>
    </r>
    <r>
      <rPr>
        <sz val="12"/>
        <color rgb="FF000000"/>
        <rFont val="Times New Roman"/>
        <family val="1"/>
      </rPr>
      <t xml:space="preserve"> (Shaw, 1802) in southwest Madagascar. PhD. thesis. George Mason University, Fairfax, Virginia.</t>
    </r>
  </si>
  <si>
    <r>
      <t>Leuteritz, T. E. J. and D. T. Ganz. 2013. Sexual dimorphism in Radiated Tortoises (</t>
    </r>
    <r>
      <rPr>
        <i/>
        <sz val="12"/>
        <color rgb="FF000000"/>
        <rFont val="Times New Roman"/>
        <family val="1"/>
      </rPr>
      <t>Astrochelys radiata</t>
    </r>
    <r>
      <rPr>
        <sz val="12"/>
        <color rgb="FF000000"/>
        <rFont val="Times New Roman"/>
        <family val="1"/>
      </rPr>
      <t>). In: Castellano, C.M., Rhodin, A.G.J., Ogle, M., Mittermeier, R.A., Randriamahazo, H., Hudson, R., and Lewis, R.E. (Eds.). Turtles on the Brink in Madagascar: Proceedings of Two Workshops on the Status, Conservation, and Biology of Malagasy Tortoises and Freshwater Turtles. Chelonian Research Monographs 6:105–112.</t>
    </r>
  </si>
  <si>
    <r>
      <t>Lewis, E.L., J.B. Iverson, G.R. Smith, and J.E. Rettig.  2018.  Body size and growth in the Red-eared Slider (</t>
    </r>
    <r>
      <rPr>
        <i/>
        <sz val="12"/>
        <color rgb="FF000000"/>
        <rFont val="Times New Roman"/>
        <family val="1"/>
      </rPr>
      <t>Trachemys scripta</t>
    </r>
    <r>
      <rPr>
        <sz val="12"/>
        <color rgb="FF000000"/>
        <rFont val="Times New Roman"/>
        <family val="1"/>
      </rPr>
      <t>) at the northern edge of its range: Does Bergmann’s Rule apply?  Herp. Conserv. Biology 13:700–710.</t>
    </r>
  </si>
  <si>
    <r>
      <t xml:space="preserve">Lipps, G.L. and J.G. Davis. 2021. Snapping Turtle </t>
    </r>
    <r>
      <rPr>
        <i/>
        <sz val="12"/>
        <color rgb="FF000000"/>
        <rFont val="Times New Roman"/>
        <family val="1"/>
      </rPr>
      <t>Chelydra serpentina</t>
    </r>
    <r>
      <rPr>
        <sz val="12"/>
        <color rgb="FF000000"/>
        <rFont val="Times New Roman"/>
        <family val="1"/>
      </rPr>
      <t xml:space="preserve"> (Linnaeus 1758). Pp. 89–­­­xx, IN: Davis, J.G. et al. (editors). Reptiles of Ohio. Ohio Biological Survey Bulletin New Series 20(Part 1).</t>
    </r>
  </si>
  <si>
    <t>Long, D.R. 1984. Inter-specific comparisons of growth relationships in chelonians. British Journal of Herpetology 6:405–407.</t>
  </si>
  <si>
    <r>
      <t xml:space="preserve">Lozada-Mayren, N. 1988. Contribución al conocimiento de la biología de la Tortuga Plana del sureste, </t>
    </r>
    <r>
      <rPr>
        <i/>
        <sz val="12"/>
        <color rgb="FF000000"/>
        <rFont val="Times New Roman"/>
        <family val="1"/>
      </rPr>
      <t>Dermatemys mawii</t>
    </r>
    <r>
      <rPr>
        <sz val="12"/>
        <color rgb="FF000000"/>
        <rFont val="Times New Roman"/>
        <family val="1"/>
      </rPr>
      <t xml:space="preserve"> (Gray 1847) en el municipio de Juarez, Chiapas. Thesis. Mexico, D.F.: Universidad Nacional Autónoma de México. </t>
    </r>
  </si>
  <si>
    <r>
      <t xml:space="preserve">Mahmoud, Z.N., D.A. El Naiem, and D.M. Hamad. 1986. Weight and measurement data on the grooved tortoise </t>
    </r>
    <r>
      <rPr>
        <i/>
        <sz val="12"/>
        <color rgb="FF000000"/>
        <rFont val="Times New Roman"/>
        <family val="1"/>
      </rPr>
      <t>Testudo sulcata</t>
    </r>
    <r>
      <rPr>
        <sz val="12"/>
        <color rgb="FF000000"/>
        <rFont val="Times New Roman"/>
        <family val="1"/>
      </rPr>
      <t xml:space="preserve"> (Miller) in captivity. Herpetological Journal 1:107–110.</t>
    </r>
  </si>
  <si>
    <t>Meek, R. 1982. Allometry in chelonians. British Journal of Herpetology 6:198–199.</t>
  </si>
  <si>
    <r>
      <t xml:space="preserve">Meek, R. 1987. Aspects of the population ecology of </t>
    </r>
    <r>
      <rPr>
        <i/>
        <sz val="12"/>
        <color rgb="FF000000"/>
        <rFont val="Times New Roman"/>
        <family val="1"/>
      </rPr>
      <t>Mauremys caspica</t>
    </r>
    <r>
      <rPr>
        <sz val="12"/>
        <color rgb="FF000000"/>
        <rFont val="Times New Roman"/>
        <family val="1"/>
      </rPr>
      <t xml:space="preserve"> in north west Africa. Herpetological Journal 1:130–136.</t>
    </r>
  </si>
  <si>
    <r>
      <t xml:space="preserve">Meek, R. and R.A. Avery. 1988. Allometry in </t>
    </r>
    <r>
      <rPr>
        <i/>
        <sz val="12"/>
        <color rgb="FF000000"/>
        <rFont val="Times New Roman"/>
        <family val="1"/>
      </rPr>
      <t>Testudo sulcata</t>
    </r>
    <r>
      <rPr>
        <sz val="12"/>
        <color rgb="FF000000"/>
        <rFont val="Times New Roman"/>
        <family val="1"/>
      </rPr>
      <t>: A reappraisal. Herpetological Journal 1:246–247.</t>
    </r>
  </si>
  <si>
    <t>Meiri, S. 2010. Length–weight allometries in lizards. Journal of Zoology 281:218–226.</t>
  </si>
  <si>
    <t>Meylan, P.A., A.B. Meylan, and J.A. Gray. 2011. The ecology and migrations of sea turtles 8. Tests of the Developmental Habitat hypothesis. Bulletin of the American Museum of Natural History 357:1–70.</t>
  </si>
  <si>
    <r>
      <t>Mill, E. 2015. An experience report on the husbandry, propogation and status of the Leopard Tortoise (</t>
    </r>
    <r>
      <rPr>
        <i/>
        <sz val="12"/>
        <color rgb="FF000000"/>
        <rFont val="Times New Roman"/>
        <family val="1"/>
      </rPr>
      <t>Stigmochelys pardalis</t>
    </r>
    <r>
      <rPr>
        <sz val="12"/>
        <color rgb="FF000000"/>
        <rFont val="Times New Roman"/>
        <family val="1"/>
      </rPr>
      <t>) and Bell’s Hinge-backed tortoise (</t>
    </r>
    <r>
      <rPr>
        <i/>
        <sz val="12"/>
        <color rgb="FF000000"/>
        <rFont val="Times New Roman"/>
        <family val="1"/>
      </rPr>
      <t>Kinixys belliana</t>
    </r>
    <r>
      <rPr>
        <sz val="12"/>
        <color rgb="FF000000"/>
        <rFont val="Times New Roman"/>
        <family val="1"/>
      </rPr>
      <t>) in Ethiopia Part 2. Radiata 24(2): 4–23</t>
    </r>
  </si>
  <si>
    <r>
      <t xml:space="preserve">Mittermeier, R.A. 1971. Notes on the behavior and ecology of </t>
    </r>
    <r>
      <rPr>
        <i/>
        <sz val="12"/>
        <color rgb="FF000000"/>
        <rFont val="Times New Roman"/>
        <family val="1"/>
      </rPr>
      <t>Rhinoclemys annulata</t>
    </r>
    <r>
      <rPr>
        <sz val="12"/>
        <color rgb="FF000000"/>
        <rFont val="Times New Roman"/>
        <family val="1"/>
      </rPr>
      <t xml:space="preserve"> Gray. Herpetologica 27:485–488.</t>
    </r>
  </si>
  <si>
    <t>Moler, P.E. 1996. Alligator Snapping Turtle distribution and relative abundance. Florida Game and Fresh Water Fish Commission Final Report 7544. 21 pp.</t>
  </si>
  <si>
    <r>
      <t xml:space="preserve">Moll, E.O. 1980. Natural history of the river terrapin, </t>
    </r>
    <r>
      <rPr>
        <i/>
        <sz val="12"/>
        <color rgb="FF000000"/>
        <rFont val="Times New Roman"/>
        <family val="1"/>
      </rPr>
      <t>Batagur baska</t>
    </r>
    <r>
      <rPr>
        <sz val="12"/>
        <color rgb="FF000000"/>
        <rFont val="Times New Roman"/>
        <family val="1"/>
      </rPr>
      <t xml:space="preserve"> (Gray) in Malaysia (Testudines: Emydidae). Malaysian Journal of Science 6(A):23–62.</t>
    </r>
  </si>
  <si>
    <r>
      <t xml:space="preserve">Mosimann, J.E. 1956. A morphometric analysis of allometry in shells of the turtles:  </t>
    </r>
    <r>
      <rPr>
        <i/>
        <sz val="12"/>
        <color rgb="FF000000"/>
        <rFont val="Times New Roman"/>
        <family val="1"/>
      </rPr>
      <t>Graptemys geographica</t>
    </r>
    <r>
      <rPr>
        <sz val="12"/>
        <color rgb="FF000000"/>
        <rFont val="Times New Roman"/>
        <family val="1"/>
      </rPr>
      <t xml:space="preserve">, </t>
    </r>
    <r>
      <rPr>
        <i/>
        <sz val="12"/>
        <color rgb="FF000000"/>
        <rFont val="Times New Roman"/>
        <family val="1"/>
      </rPr>
      <t>Chrysemys picta</t>
    </r>
    <r>
      <rPr>
        <sz val="12"/>
        <color rgb="FF000000"/>
        <rFont val="Times New Roman"/>
        <family val="1"/>
      </rPr>
      <t xml:space="preserve">, and </t>
    </r>
    <r>
      <rPr>
        <i/>
        <sz val="12"/>
        <color rgb="FF000000"/>
        <rFont val="Times New Roman"/>
        <family val="1"/>
      </rPr>
      <t>Sternotherus odoratus</t>
    </r>
    <r>
      <rPr>
        <sz val="12"/>
        <color rgb="FF000000"/>
        <rFont val="Times New Roman"/>
        <family val="1"/>
      </rPr>
      <t>. Ph.D. Dissertation. University of Michigan</t>
    </r>
  </si>
  <si>
    <t>Mosimann, J.E. 1958. An analysis of allometry in the chelonian shell. Rev. Can. Biol. 17:137–228.</t>
  </si>
  <si>
    <r>
      <t xml:space="preserve">Mosimann, D. 2003. Ökologische Untersuchungen an einer Population der Europäischen Sumpschildkröte </t>
    </r>
    <r>
      <rPr>
        <i/>
        <sz val="12"/>
        <color rgb="FF000000"/>
        <rFont val="Times New Roman"/>
        <family val="1"/>
      </rPr>
      <t>Emys orbicularis</t>
    </r>
    <r>
      <rPr>
        <sz val="12"/>
        <color rgb="FF000000"/>
        <rFont val="Times New Roman"/>
        <family val="1"/>
      </rPr>
      <t xml:space="preserve"> (Linnaeus, 1758) 50 Jahre nach der ersten (Wieder-) Ansiedlung in Moulin-de-Vert (Genf, Schweiz). Emys 10(3):4–16.</t>
    </r>
  </si>
  <si>
    <r>
      <t xml:space="preserve">Mukherjee, D., A.M.A. Nixon, and B. Bhupathy. 2006. Observations on the morphometry of two subspecies of </t>
    </r>
    <r>
      <rPr>
        <i/>
        <sz val="12"/>
        <color rgb="FF000000"/>
        <rFont val="Times New Roman"/>
        <family val="1"/>
      </rPr>
      <t>Melanochelys trijuga</t>
    </r>
    <r>
      <rPr>
        <sz val="12"/>
        <color rgb="FF000000"/>
        <rFont val="Times New Roman"/>
        <family val="1"/>
      </rPr>
      <t xml:space="preserve"> from the Western Ghats, southwestern India. Turtle and Tortoise Newsletter 9:7–9.</t>
    </r>
  </si>
  <si>
    <t>Murillo Garcia, I. 1996. Manejo en cautivero de algunas especies de tortugas de las Familias Emydidae y Bataguridae (Reptilia: Chelonia: Cryptodira). Thesis. UNAM Iztacala, Los Reyes Iztacala, México. 99 pp.</t>
  </si>
  <si>
    <r>
      <t xml:space="preserve">Nicolaou, H. 2021. A new record of the freshwater turtle </t>
    </r>
    <r>
      <rPr>
        <i/>
        <sz val="12"/>
        <color rgb="FF000000"/>
        <rFont val="Times New Roman"/>
        <family val="1"/>
      </rPr>
      <t>Mauremys rivulata</t>
    </r>
    <r>
      <rPr>
        <sz val="12"/>
        <color rgb="FF000000"/>
        <rFont val="Times New Roman"/>
        <family val="1"/>
      </rPr>
      <t xml:space="preserve"> (Valenciennes, 1833) in the Ofkos river, Cyprus: conservation actions required. Ecologica Montenegrina 42:109–115.</t>
    </r>
  </si>
  <si>
    <r>
      <t xml:space="preserve">Nolan, D. 1991. The maintenance and breeding of the Loggerhead Musk Turtle </t>
    </r>
    <r>
      <rPr>
        <i/>
        <sz val="12"/>
        <color rgb="FF000000"/>
        <rFont val="Times New Roman"/>
        <family val="1"/>
      </rPr>
      <t>Sternotherus minor minor</t>
    </r>
    <r>
      <rPr>
        <sz val="12"/>
        <color rgb="FF000000"/>
        <rFont val="Times New Roman"/>
        <family val="1"/>
      </rPr>
      <t xml:space="preserve"> (Agassiz, 1857). Testudo (British Chelonia Group) 3(3):1–4.</t>
    </r>
  </si>
  <si>
    <r>
      <t>Ostovar, K., G. Wolff, D. Dockery, U. Hoensch, M. Ruggles, A. Massey, R. Robinett, and E. Radonski. 2021. Population structure of the Spiny Softshell Turtle (</t>
    </r>
    <r>
      <rPr>
        <i/>
        <sz val="12"/>
        <color rgb="FF000000"/>
        <rFont val="Times New Roman"/>
        <family val="1"/>
      </rPr>
      <t>Apalone spinifera</t>
    </r>
    <r>
      <rPr>
        <sz val="12"/>
        <color rgb="FF000000"/>
        <rFont val="Times New Roman"/>
        <family val="1"/>
      </rPr>
      <t>) in five Montana Rivers. Chelonian Conservation and Biology 20:242–253.</t>
    </r>
  </si>
  <si>
    <r>
      <t xml:space="preserve">Parmenter, C.J. 1976. The natural history of the Australian freshwater turtle </t>
    </r>
    <r>
      <rPr>
        <i/>
        <sz val="12"/>
        <color rgb="FF000000"/>
        <rFont val="Times New Roman"/>
        <family val="1"/>
      </rPr>
      <t>Chelodina longicollis</t>
    </r>
    <r>
      <rPr>
        <sz val="12"/>
        <color rgb="FF000000"/>
        <rFont val="Times New Roman"/>
        <family val="1"/>
      </rPr>
      <t xml:space="preserve"> Shaw (Testudinata: Chelidae). Ph.D. Thesis, Univ. of New England, Australia.</t>
    </r>
  </si>
  <si>
    <r>
      <t xml:space="preserve">Petitet, R., L. Avens, J.C. Castilhos, P.G. Kinas, and L. Bugoni. 2015. Age and growth of Olive Ridley Sea Turtles </t>
    </r>
    <r>
      <rPr>
        <i/>
        <sz val="12"/>
        <color rgb="FF000000"/>
        <rFont val="Times New Roman"/>
        <family val="1"/>
      </rPr>
      <t>Lepidochelys olivacea</t>
    </r>
    <r>
      <rPr>
        <sz val="12"/>
        <color rgb="FF000000"/>
        <rFont val="Times New Roman"/>
        <family val="1"/>
      </rPr>
      <t xml:space="preserve"> in the main Brazilian nesting ground. Marine Ecology Progress Series 541:205–218.</t>
    </r>
  </si>
  <si>
    <t>Petzold, H.-G. 1963. Über einige Schildkröten aus Nord-Vietnam im Tierpark Berlin. Senckenbergiana Biologica 44:1–20.</t>
  </si>
  <si>
    <t>Pezzuti, J.C.B, da Silva, D.F., Lima, J.P., Kemenes, A., Garcia, M., Paraluppi, N.D., and Santos Monjeló, L.A. 2008. Ecologia de quelônios pelomedusídeaos na Reserva Biológica do Abufari. Chapter 4, IN: Andrade, P.C.M. Criação e Manejo de Quelônios no Amazonas. 522 pp.</t>
  </si>
  <si>
    <t>Pincheira-Donoso, D., S.F. Fox, J.A. Scolaro, N. Ibarguengoytia, J.C. Acosta, V. Corbalan, M. Medina, J. Boretto, H.J. Villavicencio, and D.J. Hodgson. 2011. Body size dimensions in lizard ecological and evolutionary research: exploring the predictive power of mass estimation equations in two Liolaemidae radiations. Herpetological Journal 21:35–42.</t>
  </si>
  <si>
    <r>
      <t xml:space="preserve">Pinckney, J. 1990. Correlation analysis of adult female, egg, and hatchling sizes in the Loggerhead Turtle, </t>
    </r>
    <r>
      <rPr>
        <i/>
        <sz val="12"/>
        <color rgb="FF000000"/>
        <rFont val="Times New Roman"/>
        <family val="1"/>
      </rPr>
      <t>Caretta caretta</t>
    </r>
    <r>
      <rPr>
        <sz val="12"/>
        <color rgb="FF000000"/>
        <rFont val="Times New Roman"/>
        <family val="1"/>
      </rPr>
      <t xml:space="preserve"> (L.) nesting at Kiawah Island, South Carolina, USA. Bulletin of Marine Science 47:670–679. </t>
    </r>
  </si>
  <si>
    <r>
      <t xml:space="preserve">Praschag, P, and R. Gemel. 2022. A new subspecies of the Asiatic Softshell Turtle </t>
    </r>
    <r>
      <rPr>
        <i/>
        <sz val="12"/>
        <color rgb="FF000000"/>
        <rFont val="Times New Roman"/>
        <family val="1"/>
      </rPr>
      <t>Amyda ornata</t>
    </r>
    <r>
      <rPr>
        <sz val="12"/>
        <color rgb="FF000000"/>
        <rFont val="Times New Roman"/>
        <family val="1"/>
      </rPr>
      <t xml:space="preserve"> (Gray, 1861) from its northern distribution range. Herpetozoa 35:81–93.</t>
    </r>
  </si>
  <si>
    <r>
      <t>Price, C., M.J. Burnett, G. O’Brien, and C.T. Downs. 2022. Presence and temporal activities of Serrated Hinged Terrapin (</t>
    </r>
    <r>
      <rPr>
        <i/>
        <sz val="12"/>
        <color rgb="FF000000"/>
        <rFont val="Times New Roman"/>
        <family val="1"/>
      </rPr>
      <t>Pelusios sinuatus</t>
    </r>
    <r>
      <rPr>
        <sz val="12"/>
        <color rgb="FF000000"/>
        <rFont val="Times New Roman"/>
        <family val="1"/>
      </rPr>
      <t>) and Marsh Terrapin (</t>
    </r>
    <r>
      <rPr>
        <i/>
        <sz val="12"/>
        <color rgb="FF000000"/>
        <rFont val="Times New Roman"/>
        <family val="1"/>
      </rPr>
      <t>Pelomedusa galeata</t>
    </r>
    <r>
      <rPr>
        <sz val="12"/>
        <color rgb="FF000000"/>
        <rFont val="Times New Roman"/>
        <family val="1"/>
      </rPr>
      <t>) in KwaZulu-Natal, South Africa, assess using telemetry. Tropical Conservation Science 15:1–15.</t>
    </r>
  </si>
  <si>
    <t>Pritchard, P.C.H. 1969. Sea turtles of the Guianas. Bulletin of the Florida State Museum 13:85–140.</t>
  </si>
  <si>
    <r>
      <t xml:space="preserve">Rainey, W.E. 1971. Reconnaissance of the Green Turtle, </t>
    </r>
    <r>
      <rPr>
        <i/>
        <sz val="12"/>
        <color rgb="FF000000"/>
        <rFont val="Times New Roman"/>
        <family val="1"/>
      </rPr>
      <t>Chelonia mydas</t>
    </r>
    <r>
      <rPr>
        <sz val="12"/>
        <color rgb="FF000000"/>
        <rFont val="Times New Roman"/>
        <family val="1"/>
      </rPr>
      <t>, nesting aggregation at Aves Island, Lesser Antilles. Caribbean Research Institute, College of the Virgin Islands, St. Thomas, Virgin Islands. 20 pp.</t>
    </r>
  </si>
  <si>
    <r>
      <t>Richard, E. 1988. Las "Yataché" (</t>
    </r>
    <r>
      <rPr>
        <i/>
        <sz val="12"/>
        <color rgb="FF000000"/>
        <rFont val="Times New Roman"/>
        <family val="1"/>
      </rPr>
      <t>Chelonoidis donosobarrosi</t>
    </r>
    <r>
      <rPr>
        <sz val="12"/>
        <color rgb="FF000000"/>
        <rFont val="Times New Roman"/>
        <family val="1"/>
      </rPr>
      <t>: Chelonii, Testudinidae) de la región del Nevado (Mendoza: Argentina): apuntes sobre su historia natural. Amphib. Rept. (Conservation) 1(4):79–92.</t>
    </r>
  </si>
  <si>
    <r>
      <t xml:space="preserve">Rifai, L.B. and Z.S. Amr. 2004. Morphometrics and biology of the Striped-necked Terrapin, </t>
    </r>
    <r>
      <rPr>
        <i/>
        <sz val="12"/>
        <color rgb="FF000000"/>
        <rFont val="Times New Roman"/>
        <family val="1"/>
      </rPr>
      <t>Mauremys rivulata</t>
    </r>
    <r>
      <rPr>
        <sz val="12"/>
        <color rgb="FF000000"/>
        <rFont val="Times New Roman"/>
        <family val="1"/>
      </rPr>
      <t xml:space="preserve"> (Valenciennes, 1833), in Jordan (Reptilia: Testudines: Geoemydidae). Zoologische Abhandlungen (Dresden) 54:177–197.</t>
    </r>
  </si>
  <si>
    <r>
      <t xml:space="preserve">Roddewig, E. 2010. My experiences with the keeping and propagation of the Black-knobbed Sawback, </t>
    </r>
    <r>
      <rPr>
        <i/>
        <sz val="12"/>
        <color rgb="FF000000"/>
        <rFont val="Times New Roman"/>
        <family val="1"/>
      </rPr>
      <t>Graptemys nigrinoda nigrinoda</t>
    </r>
    <r>
      <rPr>
        <sz val="12"/>
        <color rgb="FF000000"/>
        <rFont val="Times New Roman"/>
        <family val="1"/>
      </rPr>
      <t xml:space="preserve"> Cagle, 1954. Radiata 19(4):2–18.</t>
    </r>
  </si>
  <si>
    <r>
      <t xml:space="preserve">Roddewig, E. 2012. Husbandry and breeding of the Spotted Turtle, </t>
    </r>
    <r>
      <rPr>
        <i/>
        <sz val="12"/>
        <color rgb="FF000000"/>
        <rFont val="Times New Roman"/>
        <family val="1"/>
      </rPr>
      <t>Clemmys guttata</t>
    </r>
    <r>
      <rPr>
        <sz val="12"/>
        <color rgb="FF000000"/>
        <rFont val="Times New Roman"/>
        <family val="1"/>
      </rPr>
      <t xml:space="preserve"> (Schneider, 1792). Radiata 21(2):4–22.</t>
    </r>
  </si>
  <si>
    <r>
      <t xml:space="preserve">Roddewig, E. 2014. Husbandry and breeding of the Southern Painted Turtle, </t>
    </r>
    <r>
      <rPr>
        <i/>
        <sz val="12"/>
        <color rgb="FF000000"/>
        <rFont val="Times New Roman"/>
        <family val="1"/>
      </rPr>
      <t>Chrysemys picta</t>
    </r>
    <r>
      <rPr>
        <sz val="12"/>
        <color rgb="FF000000"/>
        <rFont val="Times New Roman"/>
        <family val="1"/>
      </rPr>
      <t xml:space="preserve"> </t>
    </r>
    <r>
      <rPr>
        <i/>
        <sz val="12"/>
        <color rgb="FF000000"/>
        <rFont val="Times New Roman"/>
        <family val="1"/>
      </rPr>
      <t>dorsalis</t>
    </r>
    <r>
      <rPr>
        <sz val="12"/>
        <color rgb="FF000000"/>
        <rFont val="Times New Roman"/>
        <family val="1"/>
      </rPr>
      <t>. Radiata 23(1):52–66.</t>
    </r>
  </si>
  <si>
    <r>
      <t>Ronto, W. and D. Rakotondravony. 2019. Does forest loss affect body condition and individual ranging patterns in Radiated Tortoises (</t>
    </r>
    <r>
      <rPr>
        <i/>
        <sz val="12"/>
        <color rgb="FF000000"/>
        <rFont val="Times New Roman"/>
        <family val="1"/>
      </rPr>
      <t>Astrochelys radiata</t>
    </r>
    <r>
      <rPr>
        <sz val="12"/>
        <color rgb="FF000000"/>
        <rFont val="Times New Roman"/>
        <family val="1"/>
      </rPr>
      <t>, Shaw 1802)? Herpetology Notes 12:603–611.</t>
    </r>
  </si>
  <si>
    <r>
      <t xml:space="preserve">Rose, F.L. and R.W. Manning. 1996. Notes on the biology of the Slider, </t>
    </r>
    <r>
      <rPr>
        <i/>
        <sz val="12"/>
        <color rgb="FF000000"/>
        <rFont val="Times New Roman"/>
        <family val="1"/>
      </rPr>
      <t>Trachemys scripta elegans</t>
    </r>
    <r>
      <rPr>
        <sz val="12"/>
        <color rgb="FF000000"/>
        <rFont val="Times New Roman"/>
        <family val="1"/>
      </rPr>
      <t xml:space="preserve"> (Reptilia: Emydidae), inhabiting man-made cattle ponds in west Texas. Texas Journal of Science 48:191–206.</t>
    </r>
  </si>
  <si>
    <r>
      <t xml:space="preserve">Rouot, S., and M. Maurer. 2023. Monograph and natural history of the Ryukyu Black Breasted Leaf Turtle, </t>
    </r>
    <r>
      <rPr>
        <i/>
        <sz val="12"/>
        <color rgb="FF000000"/>
        <rFont val="Times New Roman"/>
        <family val="1"/>
      </rPr>
      <t>Geoemyda japonica</t>
    </r>
    <r>
      <rPr>
        <sz val="12"/>
        <color rgb="FF000000"/>
        <rFont val="Times New Roman"/>
        <family val="1"/>
      </rPr>
      <t xml:space="preserve"> Fan, 1932. Radiata 32:24–37.</t>
    </r>
  </si>
  <si>
    <r>
      <t>Rudolphi, M. and R. Weser. 2000. Zucht der F</t>
    </r>
    <r>
      <rPr>
        <vertAlign val="subscript"/>
        <sz val="12"/>
        <color rgb="FF000000"/>
        <rFont val="Times New Roman"/>
        <family val="1"/>
      </rPr>
      <t>2</t>
    </r>
    <r>
      <rPr>
        <sz val="12"/>
        <color rgb="FF000000"/>
        <rFont val="Times New Roman"/>
        <family val="1"/>
      </rPr>
      <t xml:space="preserve">-Generation bei der Riesenerdschildkröte </t>
    </r>
    <r>
      <rPr>
        <i/>
        <sz val="12"/>
        <color rgb="FF000000"/>
        <rFont val="Times New Roman"/>
        <family val="1"/>
      </rPr>
      <t>Heosemys grandis</t>
    </r>
    <r>
      <rPr>
        <sz val="12"/>
        <color rgb="FF000000"/>
        <rFont val="Times New Roman"/>
        <family val="1"/>
      </rPr>
      <t xml:space="preserve"> (Gray, 1860). Sauria 22(3):17–24. </t>
    </r>
  </si>
  <si>
    <t>Schmidt, F.A.C. 2006. Some observations on Pancake Tortoises (Malacochersus tornieri) in Ruaha National Park, Tanzania. Pp. 393–408 In: Artner, H., Farkas, B., and Loehr, V. (Eds.). Turtles: Proceedings: International Turtle and Tortoise Symposium, Vienna 2002. Frankfurt: Edition Chimaira,</t>
  </si>
  <si>
    <r>
      <t>Seateun, S., N.E. Karraker, B.L. Stuart, and A. Aowphol. 2019. Population demography of Oldham’s Leaf Turtle (</t>
    </r>
    <r>
      <rPr>
        <i/>
        <sz val="12"/>
        <color rgb="FF000000"/>
        <rFont val="Times New Roman"/>
        <family val="1"/>
      </rPr>
      <t>Cyclemys oldhamii</t>
    </r>
    <r>
      <rPr>
        <sz val="12"/>
        <color rgb="FF000000"/>
        <rFont val="Times New Roman"/>
        <family val="1"/>
      </rPr>
      <t>) in protected and disturbed habitats in Thailand. Peer Journal 7:e7196.</t>
    </r>
  </si>
  <si>
    <t>Servan, J. 1976. Ecologie de la tortue verte a l'ile Europa (Canal de Mozambique). La Terra et La Vie 30:421–464.</t>
  </si>
  <si>
    <t>Simoes, J.C. and R.M. Chambers. 1999. The Diamondback Terrapins of Piermont Marsh, Hudson River, New York. Northeastern Naturalist 6(3):241–248.</t>
  </si>
  <si>
    <t>Smith, N.J.H. 1979. Aquatic turtles of Amazonia: An endangered resource. Biology Conservation xx: 165–176.</t>
  </si>
  <si>
    <r>
      <t xml:space="preserve">Souza, F.L. 1995. História natural de cágado </t>
    </r>
    <r>
      <rPr>
        <i/>
        <sz val="12"/>
        <color rgb="FF000000"/>
        <rFont val="Times New Roman"/>
        <family val="1"/>
      </rPr>
      <t>Hydromedusa maximiliani</t>
    </r>
    <r>
      <rPr>
        <sz val="12"/>
        <color rgb="FF000000"/>
        <rFont val="Times New Roman"/>
        <family val="1"/>
      </rPr>
      <t xml:space="preserve"> (Mikan 1820) no Parque Estadual de Carlos Botelho, SP, Região de Mata Atlantica (Reptilia, Testudines, Chelidae). Dissertation. Universidade Estadual Paulista, São Paulo, Brasil. 78 pp.</t>
    </r>
  </si>
  <si>
    <r>
      <t xml:space="preserve">Souza, F.L and A. S. Abe. 1997. Population structure, activity, and conservation of the Neotropical freshwater turtle, </t>
    </r>
    <r>
      <rPr>
        <i/>
        <sz val="12"/>
        <color rgb="FF000000"/>
        <rFont val="Times New Roman"/>
        <family val="1"/>
      </rPr>
      <t>Hydromedusa maximiliani</t>
    </r>
    <r>
      <rPr>
        <sz val="12"/>
        <color rgb="FF000000"/>
        <rFont val="Times New Roman"/>
        <family val="1"/>
      </rPr>
      <t>, in Brazil. Chelonian Conservation and Biology 2:521–525.</t>
    </r>
  </si>
  <si>
    <t>Tapia, W., H.B. Goldspiel, and J.P. Gibbs. 2022. Introduction of giant tortoises as a replacement “ecosystem engineer” to facilitate restoration of Santa Fe Island, Galapagos.Introduction. Restoration Ecology 30(1):e13476.</t>
  </si>
  <si>
    <t>Thong, P.V., O. Le Duc, B. Leprince, C. Bodres, T. Zuklin, C. Ducotterd, Q. Lu Vinh, L. Van Oanh, N. Tam Anh, J.E. Fa, and L. Luiselli. 2020. Unexpected high forest turtle diversity in hill forests in northern Vietnam. Biodiversity and Conservation 29:4019–4033.</t>
  </si>
  <si>
    <r>
      <t xml:space="preserve">Trauth, S. E., D.S. Siegel, M.L. McCallum, D.H. Jamieson, A. Holt, J.B. Trauth, H. Hicks, J.W. Stanley, J. Elston, J.J. Kelly, and J.D. Konvalina. 2016. Long-term Monitoring and Recovery of a Population of Alligator Snapping Turtles, </t>
    </r>
    <r>
      <rPr>
        <i/>
        <sz val="12"/>
        <color rgb="FF000000"/>
        <rFont val="Times New Roman"/>
        <family val="1"/>
      </rPr>
      <t>Macrochelys temminckii</t>
    </r>
    <r>
      <rPr>
        <sz val="12"/>
        <color rgb="FF000000"/>
        <rFont val="Times New Roman"/>
        <family val="1"/>
      </rPr>
      <t xml:space="preserve"> (Testudines: Chelydridae), from a Northeastern Arkansas Stream. Journal of the Arkansas Academy of Science 70:235–247.</t>
    </r>
  </si>
  <si>
    <r>
      <t xml:space="preserve">Tucker, A.D. and N.B. Frazer. 1991. Reproductive variation in Leatherback Turtles, </t>
    </r>
    <r>
      <rPr>
        <i/>
        <sz val="12"/>
        <color rgb="FF000000"/>
        <rFont val="Times New Roman"/>
        <family val="1"/>
      </rPr>
      <t>Dermochelys coriacea</t>
    </r>
    <r>
      <rPr>
        <sz val="12"/>
        <color rgb="FF000000"/>
        <rFont val="Times New Roman"/>
        <family val="1"/>
      </rPr>
      <t>, at Culebra National Wildlife Refuge, Puerto Rico. Herpetologica 47:115–124.</t>
    </r>
  </si>
  <si>
    <r>
      <t xml:space="preserve">Turkozan, O., C. Yilmaz, S. Karakaya, S. Karaman, and C. Ulger. 2019. Distribution, size, and demographics of eastern Hermann’s Tortoise, </t>
    </r>
    <r>
      <rPr>
        <i/>
        <sz val="12"/>
        <color rgb="FF000000"/>
        <rFont val="Times New Roman"/>
        <family val="1"/>
      </rPr>
      <t>Testudo hermanni boettgeri</t>
    </r>
    <r>
      <rPr>
        <sz val="12"/>
        <color rgb="FF000000"/>
        <rFont val="Times New Roman"/>
        <family val="1"/>
      </rPr>
      <t>, in Turkey. Chelonian Conservation and Biology 18:210–216.</t>
    </r>
  </si>
  <si>
    <r>
      <t xml:space="preserve">Vamberger, M. and I. Kos. 2011. First observations on some aspects on the natural history of European Pond Turtles </t>
    </r>
    <r>
      <rPr>
        <i/>
        <sz val="12"/>
        <color rgb="FF000000"/>
        <rFont val="Times New Roman"/>
        <family val="1"/>
      </rPr>
      <t>Emys orbicularis</t>
    </r>
    <r>
      <rPr>
        <sz val="12"/>
        <color rgb="FF000000"/>
        <rFont val="Times New Roman"/>
        <family val="1"/>
      </rPr>
      <t xml:space="preserve"> in Slovenia. Biologia 66:170–174.</t>
    </r>
  </si>
  <si>
    <r>
      <t xml:space="preserve">Vanzolini, P.E. and N. Gomes. 1979. A note on the biometry and reproduction of </t>
    </r>
    <r>
      <rPr>
        <i/>
        <sz val="12"/>
        <color rgb="FF000000"/>
        <rFont val="Times New Roman"/>
        <family val="1"/>
      </rPr>
      <t>Podocnemis sextuberculata</t>
    </r>
    <r>
      <rPr>
        <sz val="12"/>
        <color rgb="FF000000"/>
        <rFont val="Times New Roman"/>
        <family val="1"/>
      </rPr>
      <t xml:space="preserve"> (Testudines, Pelomedusidae). Papéis Avulsos de Zoologia 32(23):277–290.</t>
    </r>
  </si>
  <si>
    <r>
      <t xml:space="preserve">Visoot, Y., T. Ngamprasertwong, and N.Kitana. 2021. Nesting ecology and reproducing females of the Snail-eating Turtle, </t>
    </r>
    <r>
      <rPr>
        <i/>
        <sz val="12"/>
        <color rgb="FF000000"/>
        <rFont val="Times New Roman"/>
        <family val="1"/>
      </rPr>
      <t>Malayemys macrocephala</t>
    </r>
    <r>
      <rPr>
        <sz val="12"/>
        <color rgb="FF000000"/>
        <rFont val="Times New Roman"/>
        <family val="1"/>
      </rPr>
      <t>, in paddy fields in central plain of Thailand. Tropical Natural History 21(3):354–364.</t>
    </r>
  </si>
  <si>
    <t>Wade, S. E. and C. E. Gifford. 1965. A preliminary study of the turtle population of a northern Indiana lake. Proceedings of the Indiana Academy of Science 74:371–374.</t>
  </si>
  <si>
    <t>Whiting, S.D., J.L. Long, K.M. Hadden, A.D.K. Lauder, and A.U. Koch. 2007. Insights into size, seasonality, and biology of a nesting population of the Olive Ridley Turtle in northern Australia. Wildlife Research 34:200–210.</t>
  </si>
  <si>
    <r>
      <t xml:space="preserve">Wilbur, H.M. 1975. A growth model for the turtle </t>
    </r>
    <r>
      <rPr>
        <i/>
        <sz val="12"/>
        <color rgb="FF000000"/>
        <rFont val="Times New Roman"/>
        <family val="1"/>
      </rPr>
      <t>Chrysemys picta</t>
    </r>
    <r>
      <rPr>
        <sz val="12"/>
        <color rgb="FF000000"/>
        <rFont val="Times New Roman"/>
        <family val="1"/>
      </rPr>
      <t>. Copeia 1975:337–343.</t>
    </r>
  </si>
  <si>
    <t>Willemsen, R.E. and A. Hailey. 2002. Body mass condition in Greek Tortoises: regional and interspecific variation. Herpetological Journal 12:105–114.</t>
  </si>
  <si>
    <t>Willemsen, R.E., A. Hailey, S. Longepierre, and C. Grenot. 2002. Body mass condition and management of captive European tortoises. Herpetological Journal 12:115–121.</t>
  </si>
  <si>
    <r>
      <t xml:space="preserve">Wilson, V.J. 1968. The Leopard Tortoise, </t>
    </r>
    <r>
      <rPr>
        <i/>
        <sz val="12"/>
        <color rgb="FF000000"/>
        <rFont val="Times New Roman"/>
        <family val="1"/>
      </rPr>
      <t>Testudo pardalis babcocki</t>
    </r>
    <r>
      <rPr>
        <sz val="12"/>
        <color rgb="FF000000"/>
        <rFont val="Times New Roman"/>
        <family val="1"/>
      </rPr>
      <t>, in Eastern Zambia. Arnoldia (Rhodesia) 40(3):1–11.</t>
    </r>
  </si>
  <si>
    <r>
      <t xml:space="preserve">Yadava, M.R. and B. Prassad. 1982. Observations on the breeding biology of Indian tropical pond turtle, </t>
    </r>
    <r>
      <rPr>
        <i/>
        <sz val="12"/>
        <color rgb="FF000000"/>
        <rFont val="Times New Roman"/>
        <family val="1"/>
      </rPr>
      <t>Lissemys punctata granosa</t>
    </r>
    <r>
      <rPr>
        <sz val="12"/>
        <color rgb="FF000000"/>
        <rFont val="Times New Roman"/>
        <family val="1"/>
      </rPr>
      <t xml:space="preserve"> (Schoepff). The Indian Journal of Zootomy 23(1):51–56.</t>
    </r>
  </si>
  <si>
    <r>
      <t xml:space="preserve">Yntema, C.L. 1970. Observations on females and eggs of the common snapping turtle, </t>
    </r>
    <r>
      <rPr>
        <i/>
        <sz val="12"/>
        <color rgb="FF000000"/>
        <rFont val="Times New Roman"/>
        <family val="1"/>
      </rPr>
      <t>Chelydra serpentina</t>
    </r>
    <r>
      <rPr>
        <sz val="12"/>
        <color rgb="FF000000"/>
        <rFont val="Times New Roman"/>
        <family val="1"/>
      </rPr>
      <t>. American Midland Naturalist 84:69–76.</t>
    </r>
  </si>
  <si>
    <r>
      <t xml:space="preserve">Zweifel, R.G. 1989. Long-term ecological studies on a population of painted turtles, </t>
    </r>
    <r>
      <rPr>
        <i/>
        <sz val="12"/>
        <color rgb="FF000000"/>
        <rFont val="Times New Roman"/>
        <family val="1"/>
      </rPr>
      <t>Chrysemys picta</t>
    </r>
    <r>
      <rPr>
        <sz val="12"/>
        <color rgb="FF000000"/>
        <rFont val="Times New Roman"/>
        <family val="1"/>
      </rPr>
      <t>, on Long Island, New York. American Museum Novitates 2952:1–55.</t>
    </r>
  </si>
  <si>
    <t>Long Point, Ontario</t>
  </si>
  <si>
    <t>Chelonoidis niger (domed)</t>
  </si>
  <si>
    <t>becki</t>
  </si>
  <si>
    <t>Chelonoidis niger</t>
  </si>
  <si>
    <t xml:space="preserve"> chathamensis</t>
  </si>
  <si>
    <t xml:space="preserve"> darwini</t>
  </si>
  <si>
    <t>donfaustoi</t>
  </si>
  <si>
    <t>duncanensis</t>
  </si>
  <si>
    <t xml:space="preserve"> guntheri</t>
  </si>
  <si>
    <t>hoodensis</t>
  </si>
  <si>
    <t>microphyes</t>
  </si>
  <si>
    <t>phantasticus</t>
  </si>
  <si>
    <t>porteri</t>
  </si>
  <si>
    <t>vandenburghi</t>
  </si>
  <si>
    <t>w</t>
  </si>
  <si>
    <t>Singh et al. (2022. J. Exp. Zool. India 25:1515–1522)</t>
  </si>
  <si>
    <t>Dodd (1997; Chelonian Conservation and Biology 2:370-377); Dodd (1997; Can. J. Zoology 75:1495-1507)</t>
  </si>
  <si>
    <t>Cumberland River Tennessee</t>
  </si>
  <si>
    <t>Thiem (2020:; Thesis Austin Peay University)</t>
  </si>
  <si>
    <t>Wolf Lake Ontario, Canada</t>
  </si>
  <si>
    <t>0-2</t>
  </si>
  <si>
    <t>Samson (2003; Thesis University of Guelph)</t>
  </si>
  <si>
    <t>Holman (2009; Thesis Acadia University)</t>
  </si>
  <si>
    <t>Saint Mary's River Nova Scotia</t>
  </si>
  <si>
    <t>Little River Nova Scotia</t>
  </si>
  <si>
    <t>33 mixed sex</t>
  </si>
  <si>
    <t>BM = 52.504*e^0.1517CL</t>
  </si>
  <si>
    <t>Forrester 2022</t>
  </si>
  <si>
    <t>Forrester, A.J. 2022. Blanding's Turtles from the western Sandhils of Nebraska. Masters thesis. University of Nebraska at Kearney</t>
  </si>
  <si>
    <t>BM = 0.203*CL + 61.886</t>
  </si>
  <si>
    <t>Stemle 2017</t>
  </si>
  <si>
    <t>10 males</t>
  </si>
  <si>
    <t>BM = 0.496*CL + 31.810</t>
  </si>
  <si>
    <r>
      <t xml:space="preserve">Stemle, L.R. 2017. Life history traits and spatial ecology of the Striped Mud Turtle, </t>
    </r>
    <r>
      <rPr>
        <i/>
        <sz val="12"/>
        <color rgb="FF000000"/>
        <rFont val="Times New Roman"/>
        <family val="1"/>
      </rPr>
      <t>Kinosternon bauri</t>
    </r>
    <r>
      <rPr>
        <sz val="12"/>
        <color rgb="FF000000"/>
        <rFont val="Times New Roman"/>
        <family val="1"/>
      </rPr>
      <t>i, in central Florida.Thesis, Florida Southern College, Lakeland, Florida.</t>
    </r>
  </si>
  <si>
    <t>Win Win Mar (2007; thesis, University of Mandalay)</t>
  </si>
  <si>
    <t>Petrov (2021; PhD thesis, Western Sydney University, Australia); Petrov et al. (2024; Conservation Physiology12(1):coae033)</t>
  </si>
  <si>
    <t>AnAge 2022 but based on Carey and Judge - not dependable; see also Bury et al. 2024: Fig. 9</t>
  </si>
  <si>
    <t>Hall et al 1999; 62 as an adult Schneck 1886; 50 Stickel 1978; &gt;50 Williams 1961; 50 Todd 2000; Oliver 2023- # carved on shell- 106-111 years; Bury et al 2024 ca. 75 yrs</t>
  </si>
  <si>
    <r>
      <t>Bury, R.B.,D.F. Hughes, G.W. Bury, T.A. Miller, and W.E. Meshaka. 2024. Population trends and demography of the Wood Turtle (</t>
    </r>
    <r>
      <rPr>
        <i/>
        <sz val="12"/>
        <color rgb="FF000000"/>
        <rFont val="Times New Roman"/>
        <family val="1"/>
      </rPr>
      <t>Glyptemys insculpta</t>
    </r>
    <r>
      <rPr>
        <sz val="12"/>
        <color rgb="FF000000"/>
        <rFont val="Times New Roman"/>
        <family val="1"/>
      </rPr>
      <t>) and Woodland Box Turtle (</t>
    </r>
    <r>
      <rPr>
        <i/>
        <sz val="12"/>
        <color rgb="FF000000"/>
        <rFont val="Times New Roman"/>
        <family val="1"/>
      </rPr>
      <t>Terrapene carolina carolina</t>
    </r>
    <r>
      <rPr>
        <sz val="12"/>
        <color rgb="FF000000"/>
        <rFont val="Times New Roman"/>
        <family val="1"/>
      </rPr>
      <t>) over six decades at the Powdermill Nature Reserve, Pennsylvania. Annals of Carnegie Museum 90:97–118.</t>
    </r>
  </si>
  <si>
    <t>Ernst, C. H., and R. W. Barbour. 1989, Turtles of the World. Washington, D.C., Smithsonian Institution Press.</t>
  </si>
  <si>
    <t>Ernst, C. H., and R. W. Barbour. 1989, Turtles of the World. Washington, D.C., Smithsonian Institution Press. 313 pp.</t>
  </si>
  <si>
    <t xml:space="preserve">Acanthochelys macrocephala </t>
  </si>
  <si>
    <t xml:space="preserve">Aldabrachelys gigantea </t>
  </si>
  <si>
    <t>Chelodina (Macrochelodina) walloyarrina</t>
  </si>
  <si>
    <t>Chelodina (Macrochelodina) kuchlingi</t>
  </si>
  <si>
    <t xml:space="preserve">Chelodina (Chelodina) mccordi </t>
  </si>
  <si>
    <t>assumed to be like walloyarina</t>
  </si>
  <si>
    <t>assumed to be like others in this subgenus</t>
  </si>
  <si>
    <t xml:space="preserve">Chelonoidis guntheri </t>
  </si>
  <si>
    <t xml:space="preserve">Chelonoidis microphyes </t>
  </si>
  <si>
    <t xml:space="preserve">Chelonoidis vandenburghi </t>
  </si>
  <si>
    <t xml:space="preserve">Chersina angulata </t>
  </si>
  <si>
    <t xml:space="preserve">Chelonoidis vicina </t>
  </si>
  <si>
    <t xml:space="preserve">Chersobius boulengeri </t>
  </si>
  <si>
    <t xml:space="preserve">Chersobius signatus </t>
  </si>
  <si>
    <t>Chen and Lue 1999</t>
  </si>
  <si>
    <t>No data but all Elseya are aquatic</t>
  </si>
  <si>
    <t xml:space="preserve">Gopherus evgoodei </t>
  </si>
  <si>
    <t xml:space="preserve">Gopherus flavomarginatus </t>
  </si>
  <si>
    <t xml:space="preserve">Homopus femoralis </t>
  </si>
  <si>
    <t xml:space="preserve">Kinixys lobatsiana </t>
  </si>
  <si>
    <t xml:space="preserve">Kinixys natalensis </t>
  </si>
  <si>
    <t xml:space="preserve">Iverson 1989 </t>
  </si>
  <si>
    <t>assumed to match K. flavescens and K. stejnegeri</t>
  </si>
  <si>
    <t>Dodd 2024</t>
  </si>
  <si>
    <t>Hagen and Ching 2005</t>
  </si>
  <si>
    <t xml:space="preserve">Pelochelys signifera </t>
  </si>
  <si>
    <t xml:space="preserve">Pelomedusa galeata </t>
  </si>
  <si>
    <t>Bonin, F., B. Devaux, and A. Dupré. 2006, Turtles of the world Baltimore, Johns Hopkins University Press. 416 pp.;Branch, B. 2008. Tortoises, terrapins and turtles of Africa. Struik Publishers. Cape Town. 128 pp.</t>
  </si>
  <si>
    <t xml:space="preserve">Phrynops williamsi </t>
  </si>
  <si>
    <t>Thomas and Jansen 2006</t>
  </si>
  <si>
    <t xml:space="preserve"> Ernst and Lovich 2009</t>
  </si>
  <si>
    <t>Ernst and Lovich 2009; Previously part of S. minor</t>
  </si>
  <si>
    <t>Lim, B.L. and I. Das. 1999. Turtles of Borneo and Peninsualar Malaysia. Natural History Publications, Kota Kinabalu, Malaysia. 151 pp.</t>
  </si>
  <si>
    <t>Ernst, C. H., and R. W. Barbour. 1989, Turtles of the world. Washington, D.C., Smithsonian Institution Press. 313 pp.; Lim, B.L. and I. Das. 1999. Turtles of Borneo and Peninsualar Malaysia. Natural History Publications, Kota Kinabalu, Malaysia. 151 pp.</t>
  </si>
  <si>
    <t>Henderson, R.W. and R. Powell. 2009. Natural History of West Indian Reptiles and Amphibiians. Univ. Press of Florida, Gainseville. 520 pp.</t>
  </si>
  <si>
    <t>Ettmar, S. 2019. Toad-headed Turtles of the genus Mesoclemmys. Edition Chimaira. 204 pp.; Pritchard, P. C. H., and P. trebbau. 1984. The turtles of Venezuela. Soc. Stud. Amphib. Rept. Contrib. Herpetol. 2:1-414.</t>
  </si>
  <si>
    <t>Ettmar, S. 2019. Toad-headed Turtles of the genus Mesoclemmys. Edition Chimaira. 204 pp.; Vogt, R.C. 2008. Tartarugas da Amazonia. Lima, Walter H. Wust. 104 pp</t>
  </si>
  <si>
    <t>Ettmar 2019; Pritchard and Trebbau 1984</t>
  </si>
  <si>
    <t>Ettmar 2019; considered part of raniceps by some authors</t>
  </si>
  <si>
    <t>Paez et al. 2012. Biología y Conservación de las Tortugas Continentales de Colombia, Inst. Invest. Recursos Biol. Bogota, Colombia.</t>
  </si>
  <si>
    <t xml:space="preserve"> Paez et al. 2012</t>
  </si>
  <si>
    <t>Auliya, M. et al.2016.  Amyda cartilaginea (Boddaert 1770). Chel. Res. Monographs 5(92):1-17</t>
  </si>
  <si>
    <t>Platt, S.G. et al. Chitra vandijki McCord an Pritchard 2003. Chelon. Res. Monographs 5(74):1-7</t>
  </si>
  <si>
    <t>Ernst and Lovich 2009; but mostly aquatic</t>
  </si>
  <si>
    <t>Guyer, C. et al. 2015. Turtles of Alabama. Univ. Alabama Press, Tuscaloosa, Alabama.</t>
  </si>
  <si>
    <t>Bonin, F., B. Devaux, and A. Dupré. 2006, Turtles of the world Baltimore, Johns Hopkins University Press. 416 pp.; Ernst, C. H., and J. E. Lovich. 2009, Turtles of the United States and Canada, Second Edition. Baltimore, Johns Hopkins University Press. 827 pp.</t>
  </si>
  <si>
    <t>Pritchard, P.C.H. 2012. Rafetus. The Curve of Extinction. The Story of the Giant Softshell of the Yangtze and Red Rivers. Living Art Publishing, New York.</t>
  </si>
  <si>
    <t>Bonin, F., B. Devaux, and A. Dupré. 2006, Turtles of the world Baltimore, Johns Hopkins University Press. 416 pp.; Vogt, R.C. 2008. Tartarugas da Amazonia. Lima, Walter H. Wust. 104 pp</t>
  </si>
  <si>
    <t>Zug et al. 1998; Platt et al. 2018</t>
  </si>
  <si>
    <t>Zug, G. R., H. Win, T. Thin, T. Zaw Min, W. Zaw Lhon, and K. Kyaw. 1998. Herpetofauna of the Chattin Wildlife Sanctuary, north-central Myanmar with preliminary observations of their natural history. Hamadryad 23:111-120; Platt, S.G. et al. 2018.  Natural History Bull. Siam. Soc. 63:67–114.</t>
  </si>
  <si>
    <t>Diesmos, A.C. et al. 2004. Asiatic Herpetol. Res. 10:22-27</t>
  </si>
  <si>
    <t>Garrido 2021</t>
  </si>
  <si>
    <t>Garrido, J. 2021. Comparing semi-urban and forest populations of the Jalisco Mud Turtle (Kinosternon chimalhuaca). Masters Thesis. Central Washington University 28 pp.</t>
  </si>
  <si>
    <t>Gramentz, D. 2011. Lissemys punctata: The Indian Flap-shelled Turtle. Edition Chimaira, Frankfurt au Main, Germany. 288 pp.</t>
  </si>
  <si>
    <t>Gramentz 2008; Branch 2008</t>
  </si>
  <si>
    <t>Branch 2008; Gramentz 2008</t>
  </si>
  <si>
    <t>Branch, B. 2008. Tortoises, terrapins and turtles of Africa. Struik Publishers. Cape Town. 128 pp.; Gramentz, D. 2008. African Flapshell Turtles: The Genera Cyclanorbis and Cycloderma. Edition Chimaira, Frankfurt au Main, Germany. 191 pp.</t>
  </si>
  <si>
    <t>Gramentz, D. 2008. African Flapshell Turtles: The Genera Cyclanorbis and Cycloderma. Edition Chimaira, Frankfurt au Main, Germany. 191 pp.; Branch, B. 2008. Tortoises, terrapins and turtles of Africa. Struik Publishers. Cape Town. 128 pp.</t>
  </si>
  <si>
    <t>Gerlach, J. 2004. Giant Tortoises of the Indian Ocean: The Genus Dipsochelys Inhabiting the Seychelles Islands and the Extinct Giants of Madagascar and Mascarenes. Edition Chimaira. Frankfurt au Main, Germany. 207 pp.</t>
  </si>
  <si>
    <t>Goris and Maeda 2005</t>
  </si>
  <si>
    <t>Goris, C.R and N. Maeda 2005. Guide to the Amphibians and Reptiles of Japan. Krieger Publ. Co., Malabar, Florida.</t>
  </si>
  <si>
    <t xml:space="preserve">Schleich, H. H. and W. Kastle. 2002. Amphibians and Reptiles of Nepal. Biology, Systematics, Field Guide. Ruggell, Germany: A.R.G. Gantner Verlag K.G. 1201 pp. </t>
  </si>
  <si>
    <t>Blanck, T. (2005). Cuora yunnanensis (Boulenger, 1906), the Yunnan box turtle, rediscovered after one-hundred years? Radiata 14(2):10-33</t>
  </si>
  <si>
    <t>Cann and Sadlier 2017; Iskandar 2000</t>
  </si>
  <si>
    <t xml:space="preserve"> Bonin et al. 2006; Stuart et al. 2011</t>
  </si>
  <si>
    <t xml:space="preserve"> Bonin et al. 2006</t>
  </si>
  <si>
    <t>Das, I. 1991. Colour guide to the turltes and tortoises of the Indian Subcontinent R &amp; A Publishers, Avon England</t>
  </si>
  <si>
    <t xml:space="preserve">Zhao, E. 1998. China Red Data Book of Endangered Animals. Vol. 3. Amphibia and Reptilia. Beijing: Science Press, 330 pp. </t>
  </si>
  <si>
    <t>Ernst, C. H., and R. W. Barbour. 1989, Turtles of the world. Washington, D.C., Smithsonian Institution Press. 313 pp.; Souza, F.L., and F.I. Martins 2009. Hydromedusa maximiliani Mikan 1825) - Maximilian's Snake-necked turtle, Brazilian Snake-Necked turtle. Chelon. Res. Monographs 5(26):1–6</t>
  </si>
  <si>
    <t>Bonin, F., B. Devaux, and A. Dupré. 2006, Turtles of the world Baltimore, Johns Hopkins University Press. 416 pp.; Stuart, B. et al. 2011. Two additions to the turtle fauna of Laos. Chelon. Cons. Biol. 10:113–116</t>
  </si>
  <si>
    <t>Reyes-Grajales, E., R. Macip Ríos, J.B. Iverson, and W. A.Matamoros.  2021.  Population ecology and morphology of Kinosternon abaxillare (Baur in Stejnger, 1925) in Villa Hidalgo, Chiapas, Mexico.  Chelonian Conservation and Biology 20(1):18-26</t>
  </si>
  <si>
    <t>Reyes Grajales et al. 2021</t>
  </si>
  <si>
    <t>Zhao, E. 1998. China Red Data Book of Endangered Animals. Vol. 3. Amphibia and Reptilia. Beijing: Science Press, 330 pp.; Zhou, J. and T. Zhou (1992). Chinese Chelonians Illustrated. Nanjing: Jiangsu Science and Technology Publishing House, 89 pp</t>
  </si>
  <si>
    <t>Dodd, C.K. 2023. Notes on Kinosternon steindachneri in a North Florida sandhill community. Chelo., Conserv. Biol. 22:233–240</t>
  </si>
  <si>
    <t>Asad et al. 2021</t>
  </si>
  <si>
    <t>Asad, S., et al. 2021. Natural history of three freshwater turtle species within two logging reserves in Saba, Malaysian Borneo. Salamandra 57:251–262.</t>
  </si>
  <si>
    <t>Cupul-Magaña et al. 2022</t>
  </si>
  <si>
    <t xml:space="preserve">Bonin, F., B. Devaux, and A. Dupré. 2006, Turtles of the world Baltimore, Johns Hopkins University Press. 416 pp.; </t>
  </si>
  <si>
    <t>Ernst, C. H., and R. W. Barbour. 1989, Turtles of the world. Washington, D.C., Smithsonian Institution Press. 313 pp.; Bonin, F., B. Devaux, and A. Dupré. 2006, Turtles of the world Baltimore, Johns Hopkins University Press. 416 pp.</t>
  </si>
  <si>
    <t>Iskandar, D. T. (2000). ‘Turtles and Crocodiles of Insular Southeast Asia and New Guinea.’ (Institute of Technology: Bandung, Indonesia.)</t>
  </si>
  <si>
    <t>Vogt, R.C. 2008. Tartarugas da Amazonia. Lima, Walter H. Wust. 104 pp</t>
  </si>
  <si>
    <t>Ernst, C. H., and R. W. Barbour. 1989, Turtles of the world. Washington, D.C., Smithsonian Institution Press. 313 pp.; Ernst, C. H., and R. W. Barbour. 1989, Turtles of the world. Washington, D.C., Smithsonian Institution Press. 313 pp.</t>
  </si>
  <si>
    <t>Bonin et al. 2006; Ernst and Barbour 1989</t>
  </si>
  <si>
    <t>Pritchard, P. C. H., and P. Trebbau. 1984. The turtles of Venezuela. Soc. Stud. Amphib. Rept. Contrib. Herpetol. 2:1-414.</t>
  </si>
  <si>
    <t>Deraniyagala, P.E.P. 1939. The Tetrapod Reptiles of Ceylon. Volume i. Testudinates and Crocodilians. Dulau Co., London. 412 pp.</t>
  </si>
  <si>
    <t>Moll. E.O., et al. 2015. Batagur affinis (Cantor 1847)– Southern River Terrapin, Tuntong. Chelon. Res. Monographs 5(90):1–17</t>
  </si>
  <si>
    <t>Rhodin. A.G.J., et al. 2008. Chelodina mccordi Rhodin 1994 – Roti Island Snake-necked Turtle, McCord's Snake-necked Turtl, Kuta-kura Rote. Chelon. Res. Monographs 5(8):1–8</t>
  </si>
  <si>
    <t xml:space="preserve">Psammobates geometricus </t>
  </si>
  <si>
    <t xml:space="preserve">Psammobates tentorius </t>
  </si>
  <si>
    <t>Boycott and Bourquin 2000</t>
  </si>
  <si>
    <t>Boycott, R.C. and O. Bourquin. 2000. The Southern African Tortoise Book. A Guide to Southern African Tortoises, Terrapins, and Turtles. Interpak, Pietersmaritzburg. 228 pp.</t>
  </si>
  <si>
    <t>Xiao et al. 2023</t>
  </si>
  <si>
    <t>Xiao, F. et al. 2023. Microhabitat characteristics of the critically endangered Big-headed Turtle, Platyrsternon megacephalum. Ecology and Evolution 13:e10633</t>
  </si>
  <si>
    <t>Das, I. 1995. Turtles and tortoises of India. Oxford University Press.</t>
  </si>
  <si>
    <t xml:space="preserve"> Iskandar, D. T. 2000. ‘Turtles and Crocodiles of Insular Southeast Asia and New Guinea.’ (Institute of Technology: Bandung, Indonesia.)</t>
  </si>
  <si>
    <t xml:space="preserve">Zhou, J. and T. Zhou. 1992. Chinese Chelonians Illustrated. Nanjing: Jiangsu Science and Technology Publishing House, 89 pp. </t>
  </si>
  <si>
    <t>Chen, T.H. and K.Y. Lue. 1999. Population characteristics and egg production of the yellow-margined box turtle, Cuora flavomarginata flavomarginata, in Northern Taiwan. Herpetologica 55:487-498</t>
  </si>
  <si>
    <t>Iskandar, D. T. 2000. ‘Turtles and Crocodiles of Insular Southeast Asia and New Guinea.’ (Institute of Technology: Bandung, Indonesia.)</t>
  </si>
  <si>
    <t>Cann, J. and R. Sadlier. 2017. Freshwater turtles of Australia. CSIRO Publishing, Clayton South, Victoria, Australia (www.publish.csiro.au) and ECO Publishing and Distribution, Rodeo, New Mexico (www.ecouniverse.com). 448 pp.;  Iskandar, D. T. 2000. ‘Turtles and Crocodiles of Insular Southeast Asia and New Guinea.’ (Institute of Technology: Bandung, Indonesia.)</t>
  </si>
  <si>
    <t>Rhodin, A.G.J. et al. 2009. Acanthochelys macrocephala (Rhodin, Mittermeier and McMorris 1984) – Big-headed Pantanal Swamp Tutrtle, Pantanal Swamp Turtle. Chelon. Res. Monographs 5(40):1–8.</t>
  </si>
  <si>
    <t>ADULT DIET</t>
  </si>
  <si>
    <t>Chelonoidis vicina</t>
  </si>
  <si>
    <t>Chelonoidis vandenburghi</t>
  </si>
  <si>
    <t>Chelodina (Chelodina) mccordi</t>
  </si>
  <si>
    <t>Iskandar, D. T. 2000. ‘Turtles and Crocodiles of Insular Southeast Asia and New Guinea.’ (Institute of Technology: Bandung, Indonesia.); Cann, J. and R. Sadlier. 2017. Freshwater turtles of Australia. CSIRO Publishing, Clayton South, Victoria, Australia (www.publish.csiro.au) and ECO Publishing and Distribution, Rodeo, New Mexico (www.ecouniverse.com). 448 pp.</t>
  </si>
  <si>
    <t>Ernst, C. H., and R. W. Barbour. 1989, Turtles of the World. Washington, D.C., Smithsonian Institution Press. 313 pp.; Bonin, F., B. Devaux, and A. Dupré. 2006, Turtles of the world Baltimore, Johns Hopkins University Press. 416 pp.</t>
  </si>
  <si>
    <t>Cabrera, MA 1998. Las tortugas continentales de sudamerica Austral.  BR Copias, Cordoba, Argentina; Bonin, F., B. Devaux, and A. Dupré. 2006, Turtles of the world Baltimore, Johns Hopkins University Press. 416 pp.</t>
  </si>
  <si>
    <t>???</t>
  </si>
  <si>
    <t>Vogt, R.C. 2008. Tartarugas da Amazonia. Lima, Walter H. Wust. 104 pp.; Pritchard, P. C. H., and P. Trebbau. 1984. The turtles of Venezuela. Soc. Stud. Amphib. Rept. Contrib. Herpetol. 2:1-414.</t>
  </si>
  <si>
    <t>Cann, J. and R. Sadlier. 2017. Freshwater turtles of Australia. CSIRO Publishing, Clayton South, Victoria, Australia (www.publish.csiro.au) and ECO Publishing and Distribution, Rodeo, New Mexico (www.ecouniverse.com). 448 pp.; Tucker, A.D., F. Guarino, and T.E. Priest. 2012. Chelon. Conserv. Biol. 11:12–23.</t>
  </si>
  <si>
    <t>Souza, F.L., and F.I. Martins 2009. Hydromedusa maximiliani Mikan 1825) - Maximilian's Snake-necked turtle, Brazilian Snake-Necked turtle. Chelon. Res. Monographs 5(26):1–6.</t>
  </si>
  <si>
    <t>Ettmar, S. 2019. Toad-headed Turtles of the genus Mesoclemmys. Edition Chimaira. 204 pp.; Cabrera, MA 1998. Las tortugas continentales de sudamerica Austral.  BR Copias, Cordoba, Argentina</t>
  </si>
  <si>
    <t>Vogt, R.C. 2008. Tartarugas da Amazonia. Lima, Walter H. Wust. 104 pp.</t>
  </si>
  <si>
    <t>Mesen, R.A.A. 1998. Las Tortugas Continentales de Costa Rica. Editorial de la Universidad de Costa Rica, San José</t>
  </si>
  <si>
    <t>Legler, J. M., and R. C. Vogt. 2013, Turtles of Mexico. Berkeley, University of California Press. 416 pp.; Ernst, C. H., and J. E. Lovich. 2009, Turtles of the United States and Canada, Second Edition. Baltimore, Johns Hopkins University Press. 827 pp.</t>
  </si>
  <si>
    <t>Ottonello et al. 2017; Ecological Research 32:71-80.</t>
  </si>
  <si>
    <t>Ennen, J.R., J.E. Lovich, and R.L. Jones. 2016. Chelon. Res. Monographs 5(94):1–8.</t>
  </si>
  <si>
    <t>Cabrera, M.A. 1998. Las tortugas continentales de sudamerica Austral.  BR Copias, Cordoba, Argentina</t>
  </si>
  <si>
    <t>Ernst, C. H., and J. E. Lovich. 2009, Turtles of the United States and Canada, Second Edition. Baltimore, Johns Hopkins University Press. 827 pp.; Legler, J. M., and R. C. Vogt. 2013, Turtles of Mexico. Berkeley, University of California Press. 416 pp.</t>
  </si>
  <si>
    <t>Mesen, R.A.A. 1998. Las Tortugas Continentales de Costa Rica. Editorial de la Universidad de Costa Rica, San José; Legler, J. M., and R. C. Vogt. 2013, Turtles of Mexico. Berkeley, University of California Press. 416 pp.</t>
  </si>
  <si>
    <t>Moll. E.O. et al. 2015. Chelon. Res. Monographs 5(37):1–10.</t>
  </si>
  <si>
    <t>Lim, B.L. and I. Das. 1999. Turtles of Borneo and Peninsular Malaysia. Natural History Publications, Kota Kinabalu, Malaysia. 151 pp.; Das, I. 1995. Turtles and tortoises of India. Oxford University Press.</t>
  </si>
  <si>
    <t>Lim and Das 1999, Ernst and Barbour 1989; Iskandar 2000 says Omni; Bonin et al. 2006 say a little animal matter</t>
  </si>
  <si>
    <t>Ernst and Barbour 1989, Bonin et al. 2006</t>
  </si>
  <si>
    <t xml:space="preserve">Goris, C.R and N. Maeda 2005. Guide to the Amphibians and Reptiles of Japan. Krieger Publ. Co., Malabar, Florida.; Ernst, C. H., and R. W. Barbour. 1989, Turtles of the World. Washington, D.C., Smithsonian Institution Press. 313 pp.; Zhou, J. and T. Zhou. 1992. Chinese Chelonians Illustrated. Nanjing: Jiangsu Science and Technology Publishing House, 89 pp. </t>
  </si>
  <si>
    <t xml:space="preserve">Bonin, F., B. Devaux, and A. Dupré. 2006, Turtles of the world Baltimore, Johns Hopkins University Press. 416 pp.; Zhou, J. and T. Zhou. 1992. Chinese Chelonians Illustrated. Nanjing: Jiangsu Science and Technology Publishing House, 89 pp. </t>
  </si>
  <si>
    <t xml:space="preserve">Das, I. 1991. Colour guide to the turltes and tortoises of the Indian Subcontinent R &amp; A Publishers, Avon England; Zhou, J. and T. Zhou. 1992. Chinese Chelonians Illustrated. Nanjing: Jiangsu Science and Technology Publishing House, 89 pp. </t>
  </si>
  <si>
    <t xml:space="preserve">Ernst, C. H., and R. W. Barbour. 1989, Turtles of the World. Washington, D.C., Smithsonian Institution Press. 313 pp.; Zhou, J. and T. Zhou. 1992. Chinese Chelonians Illustrated. Nanjing: Jiangsu Science and Technology Publishing House, 89 pp. </t>
  </si>
  <si>
    <t>Zhao, E. 1998. China Red Data Book of Endangered Animals. Vol. 3. Amphibia and Reptilia. Beijing: Science Press, 330 pp. ; Bonin, F., B. Devaux, and A. Dupré. 2006, Turtles of the world Baltimore, Johns Hopkins University Press. 416 pp.</t>
  </si>
  <si>
    <t>Das, I. 1995. Turtles and tortoises of India. Oxford University Press</t>
  </si>
  <si>
    <t>Das 1991, 1995; Bonin et al. 2006; Basu and Singh 1998  say herbivorous.</t>
  </si>
  <si>
    <t>Das, I. 1991. Colour guide to the turltes and tortoises of the Indian Subcontinent R &amp; A Publishers, Avon England; Das, I. 1995. Turtles and tortoises of India. Oxford University Press.; Bonin, F., B. Devaux, and A. Dupré. 2006, Turtles of the world Baltimore, Johns Hopkins University Press. 416 pp.; Basu, D., and S.P. Singh. 1998. Hamadryad 23:157–161.</t>
  </si>
  <si>
    <t>Goris, C.R and N. Maeda 2005. Guide to the Amphibians and Reptiles of Japan. Krieger Publ. Co., Malabar, Florida</t>
  </si>
  <si>
    <t xml:space="preserve">Iskandar, D. T. 2000. ‘Turtles and Crocodiles of Insular Southeast Asia and New Guinea.’ (Institute of Technology: Bandung, Indonesia.); Zhao, E. 1998. China Red Data Book of Endangered Animals. Vol. 3. Amphibia and Reptilia. Beijing: Science Press, 330 pp. ; Zhou, J. and T. Zhou. 1992. Chinese Chelonians Illustrated. Nanjing: Jiangsu Science and Technology Publishing House, 89 pp. </t>
  </si>
  <si>
    <t>Das, I. 1991. Colour guide to the turltes and tortoises of the Indian Subcontinent R &amp; A Publishers, Avon England; Das, I. 1995. Turtles and tortoises of India. Oxford University Press.</t>
  </si>
  <si>
    <t>Lim and Das 1999; Iskandar 2000 says Herbivorous</t>
  </si>
  <si>
    <t>Das, I. 1991. Colour guide to the turltes and tortoises of the Indian Subcontinent R &amp; A Publishers, Avon England; Das, I. 1995. Turtles and tortoises of India. Oxford University Press.; Bonin, F., B. Devaux, and A. Dupré. 2006, Turtles of the world Baltimore, Johns Hopkins University Press. 416 pp.</t>
  </si>
  <si>
    <t>Das, I. 1991. Colour guide to the turltes and tortoises of the Indian Subcontinent R &amp; A Publishers, Avon England; Bonin, F., B. Devaux, and A. Dupré. 2006, Turtles of the world Baltimore, Johns Hopkins University Press. 416 pp.</t>
  </si>
  <si>
    <t>Vogt 2008; Legler and Vogt 2013; but Mesen 1998 and Pritchard and Trebbau 1984 say carnivorous</t>
  </si>
  <si>
    <t>Guyer, C. et al. 2015. Turtles of Alabama. Univ. Alabama Press, Tuscaloosa, Alabama; Ernst, C. H., and J. E. Lovich. 2009, Turtles of the United States and Canada, Second Edition. Baltimore, Johns Hopkins University Press. 827 pp.</t>
  </si>
  <si>
    <t>No data; assumed based on S. peltifer</t>
  </si>
  <si>
    <t>Guyer et al 2015; Ernst and Lovich 2009</t>
  </si>
  <si>
    <t>Guyer, C. et al. 2015. Turtles of Alabama. Univ. Alabama Press, Tuscaloosa, Alabama.; Ernst, C. H., and J. E. Lovich. 2009, Turtles of the United States and Canada, Second Edition. Baltimore, Johns Hopkins University Press. 827 pp.</t>
  </si>
  <si>
    <t>Bonin, F., B. Devaux, and A. Dupré. 2006, Turtles of the world Baltimore, Johns Hopkins University Press. 416 pp</t>
  </si>
  <si>
    <t>Cabrera, MA 1998. Las tortugas continentales de sudamerica Austral.  BR Copias, Cordoba, Argentina; Swingland, I. R., and M. W. E. Klemens. 1989. The conservation biology of tortoises. Occas. Pap. IUCN Species Survival Comm. 5:1-202.</t>
  </si>
  <si>
    <t>Pritchard and Trebbau 1984; Vogt 2008 says Herb but a little animal matter</t>
  </si>
  <si>
    <t>Pritchard, P. C. H., and P. Trebbau. 1984. The turtles of Venezuela. Soc. Stud. Amphib. Rept. Contrib. Herpetol. 2:1-414; Vogt, R.C. 2008. Tartarugas da Amazonia. Lima, Walter H. Wust. 104 pp</t>
  </si>
  <si>
    <t>Chelonoidis guntheri</t>
  </si>
  <si>
    <t>Das, I. 1995. Turtles and tortoises of India. Oxford University Press.; Swingland, I. R., and M. W. E. Klemens. 1989. The conservation biology of tortoises. Occas. Pap. IUCN Species Survival Comm. 5:1-202.</t>
  </si>
  <si>
    <t>Platt, S.G. 2011. Chelon. Res. Monographs 5(57):1–9.</t>
  </si>
  <si>
    <t>Ernst, C. H., and R. W. Barbour. 1989, Turtles of the World. Washington, D.C., Smithsonian Institution Press. 313 pp.; Swingland, I. R., and M. W. E. Klemens. 1989. The conservation biology of tortoises. Occas. Pap. IUCN Species Survival Comm. 5:1-202.</t>
  </si>
  <si>
    <t>Legler, J. M., and R. C. Vogt. 2013, Turtles of Mexico. Berkeley, University of California Press. 416 pp.; Ernst, C. H., and R. W. Barbour. 1989, Turtles of the World. Washington, D.C., Smithsonian Institution Press. 313 pp.; Ernst, C. H., and J. E. Lovich. 2009, Turtles of the United States and Canada, Second Edition. Baltimore, Johns Hopkins University Press. 827 pp.; Swingland, I. R., and M. W. E. Klemens. 1989. The conservation biology of tortoises. Occas. Pap. IUCN Species Survival Comm. 5:1-202.</t>
  </si>
  <si>
    <t>Swingland, I. R., and M. W. E. Klemens. 1989. The conservation biology of tortoises. Occas. Pap. IUCN Species Survival Comm. 5:1-202.; Ernst, C. H., and J. E. Lovich. 2009, Turtles of the United States and Canada, Second Edition. Baltimore, Johns Hopkins University Press. 827 pp.</t>
  </si>
  <si>
    <t>Ernst, C. H., and R. W. Barbour. 1989, Turtles of the World. Washington, D.C., Smithsonian Institution Press. 313 pp</t>
  </si>
  <si>
    <t>Das 1995; Lim and Das 1999; Das 1991 says herbivorous</t>
  </si>
  <si>
    <t>Iskandar 2000; Zhao 1998; Ernst and Barbour 1989; Zhou and Zhou 1992</t>
  </si>
  <si>
    <t>Leuteritz, E.J., et al. Chelon.Res. Monographs 6:53–55.</t>
  </si>
  <si>
    <t>Gramentz, D. 2008. African Flapshell Turtles: The Genera Cyclanorbis and Cycloderma. Edition Chimaira, Frankfurt au Main, Germany. 191 pp</t>
  </si>
  <si>
    <t>Gramentz 2008, Branch 2008; Bonin et al. 2006 say Omni</t>
  </si>
  <si>
    <t>Gramentz, D. 2008. African Flapshell Turtles: The Genera Cyclanorbis and Cycloderma. Edition Chimaira, Frankfurt au Main, Germany. 191 pp; Branch, B. 2008. Tortoises, terrapins and turtles of Africa. Struik Publishers. Cape Town. 128 pp.; Bonin, F., B. Devaux, and A. Dupré. 2006, Turtles of the world Baltimore, Johns Hopkins University Press. 416 pp.</t>
  </si>
  <si>
    <t>Iskandar, D. T. 2000. ‘Turtles and Crocodiles of Insular Southeast Asia and New Guinea.’ (Institute of Technology: Bandung, Indonesia.);  Das, I. 1995. Turtles and tortoises of India. Oxford University Press.</t>
  </si>
  <si>
    <t xml:space="preserve">Zhao, E. 1998. China Red Data Book of Endangered Animals. Vol. 3. Amphibia and Reptilia. Beijing: Science Press, 330 pp. ; Zhou, J. and T. Zhou. 1992. Chinese Chelonians Illustrated. Nanjing: Jiangsu Science and Technology Publishing House, 89 pp. </t>
  </si>
  <si>
    <t xml:space="preserve">Iskandar, D. T. 2000. ‘Turtles and Crocodiles of Insular Southeast Asia and New Guinea.’ (Institute of Technology: Bandung, Indonesia.); Zhou, J. and T. Zhou. 1992. Chinese Chelonians Illustrated. Nanjing: Jiangsu Science and Technology Publishing House, 89 pp. </t>
  </si>
  <si>
    <t>Lim and Das 1999; Das 1995;  Iskandar 2000 says Carnivorous</t>
  </si>
  <si>
    <t>Taskavak et al. 2016. Chelon. Res. Monographs 5(98):1–11.</t>
  </si>
  <si>
    <t>Bonin, F., B. Devaux, and A. Dupré. 2006, Turtles of the world Baltimore, Johns Hopkins University Press. 416 pp.; Ernst, C. H., and R. W. Barbour. 1989, Turtles of the World. Washington, D.C., Smithsonian Institution Press. 313 pp.</t>
  </si>
  <si>
    <t>Bonin, F., B. Devaux, and A. Dupré. 2006, Turtles of the world Baltimore, Johns Hopkins University Press. 416 pp.; Henderson, R.W. and R. Powell. 2009. Natural History of West Indian Reptiles and Amphibians. Univ. Press of Florida, Gainesville. 520 pp.</t>
  </si>
  <si>
    <t>Henderson, R.W. and R. Powell. 2009. Natural History of West Indian Reptiles and Amphiians. Univ. Press of Florida, Gainesville. 520 pp.; Ernst, C. H., and R. W. Barbour. 1989, Turtles of the World. Washington, D.C., Smithsonian Institution Press. 313 pp</t>
  </si>
  <si>
    <t>Henderson, R.W. and R. Powell. 2009. Natural History of West Indian Reptiles and Amphibians. Univ. Press of Florida, Gainesville. 520 pp.</t>
  </si>
  <si>
    <t>Carr, J.L. and A. Giraldo. 2011. Chelon. Res. Monographs 5(34):1–6.</t>
  </si>
  <si>
    <t>Fidenci, P. 2004.Discovery of a wild population of the critically endangered Philippine Forest Turtle, Heosemys  leytensis, in Palawan, Philippines. Turtle and Tortoise Newsletter 8:2–3.</t>
  </si>
  <si>
    <t>Pérez-Santigosa et al. 2011</t>
  </si>
  <si>
    <t>Pérez-Santigosa, N., M. Florencio, J. Hidlago-Vila, and C. Díaz-Paniagua. 2011. Amphibia-Reptilia 32:167–175.</t>
  </si>
  <si>
    <t>Lim, B.L. and I. Das. 1999. Turtles of Borneo and Peninsular Malaysia. Natural History Publications, Kota Kinabalu, Malaysia. 151 pp.; Iskandar, D. T. 2000. ‘Turtles and Crocodiles of Insular Southeast Asia and New Guinea.’ (Institute of Technology: Bandung, Indonesia.)</t>
  </si>
  <si>
    <t>Das, I. 1991. Colour guide to the turtles and tortoises of the Indian Subcontinent R &amp; A Publishers, Avon England; Das, I. 1995. Turtles and tortoises of India. Oxford University Press.; Bonin, F., B. Devaux, and A. Dupré. 2006, Turtles of the world Baltimore, Johns Hopkins University Press. 416 pp.</t>
  </si>
  <si>
    <t>Iskandar, D. T. 2000. ‘Turtles and Crocodiles of Insular Southeast Asia and New Guinea.’ (Institute of Technology: Bandung, Indonesia.); Lim, B.L. and I. Das. 1999. Turtles of Borneo and Peninsular Malaysia. Natural History Publications, Kota Kinabalu, Malaysia. 151 pp.</t>
  </si>
  <si>
    <t>Das, I. 1995. Turtles and tortoises of India. Oxford University Press.; Lim, B.L. and I. Das. 1999. Turtles of Borneo and Peninsular Malaysia. Natural History Publications, Kota Kinabalu, Malaysia. 151 pp</t>
  </si>
  <si>
    <t>Auliya, M. et al.2016.  Amyda cartilaginea (Boddaert 1770). Chel. Res. Monographs 5(92):1-17; Lim, B.L. and I. Das. 1999. Turtles of Borneo and Peninsular Malaysia. Natural History Publications, Kota Kinabalu, Malaysia. 151 pp</t>
  </si>
  <si>
    <t>Iskandar, D. T. 2000. ‘Turtles and Crocodiles of Insular Southeast Asia and New Guinea.’ (Institute of Technology: Bandung, Indonesia.); Lim, B.L. and I. Das. 1999. Turtles of Borneo and Peninsular Malaysia. Natural History Publications, Kota Kinabalu, Malaysia. 151 pp</t>
  </si>
  <si>
    <t>Lim, B.L. and I. Das. 1999. Turtles of Borneo and Peninsular Malaysia. Natural History Publications, Kota Kinabalu, Malaysia. 151 pp</t>
  </si>
  <si>
    <t xml:space="preserve">Lim, B.L. and I. Das. 1999. Turtles of Borneo and Peninsular Malaysia. Natural History Publications, Kota Kinabalu, Malaysia. 151 pp.; Zhou, J. and T. Zhou. 1992. Chinese Chelonians Illustrated. Nanjing: Jiangsu Science and Technology Publishing House, 89 pp. </t>
  </si>
  <si>
    <t>Lim, B.L. and I. Das. 1999. Turtles of Borneo and Peninsular Malaysia. Natural History Publications, Kota Kinabalu, Malaysia. 151 pp; Iskandar, D. T. 2000. ‘Turtles and Crocodiles of Insular Southeast Asia and New Guinea.’ (Institute of Technology: Bandung, Indonesia.)</t>
  </si>
  <si>
    <t>Lim, B.L. and I. Das. 1999. Turtles of Borneo and Peninsular Malaysia. Natural History Publications, Kota Kinabalu, Malaysia. 151 pp.; Ernst, C. H., and R. W. Barbour. 1989, Turtles of the World. Washington, D.C., Smithsonian Institution Press. 313 pp.; Iskandar, D. T. 2000. ‘Turtles and Crocodiles of Insular Southeast Asia and New Guinea.’ (Institute of Technology: Bandung, Indonesia.); Bonin, F., B. Devaux, and A. Dupré. 2006, Turtles of the world Baltimore, Johns Hopkins University Press. 416 pp.</t>
  </si>
  <si>
    <t>Iskandar, D. T. 2000. ‘Turtles and Crocodiles of Insular Southeast Asia and New Guinea.’ (Institute of Technology: Bandung, Indonesia.); Lim, B.L. and I. Das. 1999. Turtles of Borneo and Peninsular Malaysia. Natural History Publications, Kota Kinabalu, Malaysia. 151 pp.; Das, I. 1995. Turtles and tortoises of India. Oxford University Press.</t>
  </si>
  <si>
    <t>Das, I. 1991. Colour guide to the turtles and tortoises of the Indian Subcontinent R &amp; A Publishers, Avon England; Das, I. 1995. Turtles and tortoises of India. Oxford University Press.; Das, I. 1995. Turtles and tortoises of India. Oxford University Press.; Bonin, F., B. Devaux, and A. Dupré. 2006, Turtles of the world Baltimore, Johns Hopkins University Press. 416 pp.</t>
  </si>
  <si>
    <t>Das, I. 1991. Colour guide to the turtles and tortoises of the Indian Subcontinent R &amp; A Publishers, Avon England</t>
  </si>
  <si>
    <t>Das, I. 1991. Colour guide to the turtles and tortoises of the Indian Subcontinent R &amp; A Publishers, Avon England; Das, I. 1995. Turtles and tortoises of India. Oxford University Press.</t>
  </si>
  <si>
    <t>Platt et al. 2018</t>
  </si>
  <si>
    <t>Platt, S.G. et al. 2018. Nat. Hist.Siam Soc. 63:67–114.</t>
  </si>
  <si>
    <t>Iskandar, D. T. 2000. ‘Turtles and Crocodiles of Insular Southeast Asia and New Guinea.’ (Institute of Technology: Bandung, Indonesia.).; Lim, B.L. and I. Das. 1999. Turtles of Borneo and Peninsular Malaysia. Natural History Publications, Kota Kinabalu, Malaysia. 151 pp; Jensen, K.A., and I. Das. 2006. Heosemys spinosa (Spiny Hii Turtle). Diet. Herpetol. Review 37:458.</t>
  </si>
  <si>
    <t>Broggi 2023</t>
  </si>
  <si>
    <t>Broggi, M.F. Herpetozoa 36:233–247</t>
  </si>
  <si>
    <t xml:space="preserve">Chen, T.H., and K.Y. Lue. Journal of Herpetology 33:463–471; Zhou, J. and T. Zhou. 1992. Chinese Chelonians Illustrated. Nanjing: Jiangsu Science and Technology Publishing House, 89 pp.; Zhao, E. 1998. China Red Data Book of Endangered Animals. Vol. 3. Amphibia and Reptilia. Beijing: Science Press, 330 pp. </t>
  </si>
  <si>
    <t xml:space="preserve">Anderson, J. 1878.  Anatomical and Zoological Researches. Bernard Quaritch, London. 985 pp. </t>
  </si>
  <si>
    <t xml:space="preserve"> Legler and Vogt 2013</t>
  </si>
  <si>
    <t>Vogt, R.C. 2008. Tartarugas da Amazonia. Lima, Walter H. Wust. 104 pp; Legler, J. M., and R. C. Vogt. 2013, Turtles of Mexico. Berkeley, University of California Press. 416 pp.; Mesen, R.A.A. 1998. Las Tortugas Continentales de Costa Rica. Editorial de la Universidad de Costa Rica, San José; Pritchard, P. C. H., and P. Trebbau. 1984. The turtles of Venezuela. Soc. Stud. Amphib. Rept. Contrib. Herpetol. 2:1-414.</t>
  </si>
  <si>
    <t>Brancroft, G.T. et al. 1983. Large-scale Operations Management Test of Use of the White Amur for Control of Problem Aquatic Plants.; The Herpetofauna of Lake Conway: Species Accounts.</t>
  </si>
  <si>
    <t>Cupul-Magaña et al. 2023</t>
  </si>
  <si>
    <t>Cupul-Magaña, F.G. et al. 2023. Herpetozoa 36:259–262.</t>
  </si>
  <si>
    <t>Luiselli, L. et al. 2004. Herpetological Journal 14:57–64</t>
  </si>
  <si>
    <t>Luiselli, L. et al. 2004. Herpetological Journal 14:57–64; Branch, B. 2008. Tortoises, terrapins and turtles of Africa. Struik Publishers. Cape Town. 128 pp.</t>
  </si>
  <si>
    <t>Branch, B. 2008. Tortoises, terrapins and turtles of Africa. Struik Publishers. Cape Town. 128 pp.; Boycott, R.C. and O. Bourquin. 2000. The Southern African Tortoise Book. A Guide to Southern African Tortoises, Terrapins, and Turtles. Interpak, Pietersmaritzburg. 228 pp.</t>
  </si>
  <si>
    <t>Luiselli, L. et al. 2004. Herpetological Journal 14:57–64: Branch, B. 2008. Tortoises, terrapins and turtles of Africa. Struik Publishers. Cape Town. 128 pp.</t>
  </si>
  <si>
    <t>Kuchling, G. and G. Garcia. 2003. Pelomedusidae, Freshwater Turtles, Pp 956–960. IN: Goodman, S.M. and J.P. Benstead.. The Natural History of Madagascar. University of Chicago Press, Chicago.</t>
  </si>
  <si>
    <t>Vogt 2008; Pritchard and Trebbau 1984; Cabrera 1998 (but a little animal matter)</t>
  </si>
  <si>
    <t>Vogt, R.C. 2008. Tartarugas da Amazonia. Lima, Walter H. Wust. 104 pp.; Pritchard, P. C. H., and P. Trebbau. 1984. The turtles of Venezuela. Soc. Stud. Amphib. Rept. Contrib. Herpetol. 2:1-414; Cabrera, MA 1998. Las tortugas continentales de sudamerica Austral.  BR Copias, Cordoba, Argentina</t>
  </si>
  <si>
    <t>Iskandar 2000; Lim and Das 1999; Zhou and Zhou 1992; but Swingland and Klemens 1989 say mostly herbivorous</t>
  </si>
  <si>
    <t>Iskandar, D. T. 2000. ‘Turtles and Crocodiles of Insular Southeast Asia and New Guinea.’ (Institute of Technology: Bandung, Indonesia.); Lim, B.L. and I. Das. 1999. Turtles of Borneo and Peninsular Malaysia. Natural History Publications, Kota Kinabalu, Malaysia. 151 pp; Zhou, J. and T. Zhou. 1992. Chinese Chelonians Illustrated. Nanjing: Jiangsu Science and Technology Publishing House, 89 pp; Swingland, I. R., and M. W. E. Klemens. 1989. The conservation biology of tortoises. Occas. Pap. IUCN Species Survival Comm. 5:1-202.</t>
  </si>
  <si>
    <t>Iskandar, D. T. 2000. ‘Turtles and Crocodiles of Insular Southeast Asia and New Guinea.’ (Institute of Technology: Bandung, Indonesia.); Swingland, I. R., and M. W. E. Klemens. 1989. The conservation biology of tortoises. Occas. Pap. IUCN Species Survival Comm. 5:1-202.; Das, I. 1995. Turtles and tortoises of India. Oxford University Press.</t>
  </si>
  <si>
    <t>Iskandar, D. T. 2000. ‘Turtles and Crocodiles of Insular Southeast Asia and New Guinea.’ (Institute of Technology: Bandung, Indonesia.); Zhao, E. 1998. China Red Data Book of Endangered Animals. Vol. 3. Amphibia and Reptilia. Beijing: Science Press, 330 pp. ; Ernst, C. H., and R. W. Barbour. 1989, Turtles of the World. Washington, D.C., Smithsonian Institution Press. 313 pp.; Zhou, J. and T. Zhou. 1992. Chinese Chelonians Illustrated. Nanjing: Jiangsu Science and Technology Publishing House, 89 pp.</t>
  </si>
  <si>
    <t>Zhou, J. and T. Zhou. 1992. Chinese Chelonians Illustrated. Nanjing: Jiangsu Science and Technology Publishing House, 89 pp.; Das, I. 1995. Turtles and tortoises of India. Oxford University Press.</t>
  </si>
  <si>
    <t>Platt, S.G. et al. 2014. Chelon. Res. Monographs 5(74):1–7.</t>
  </si>
  <si>
    <t>Lim, B.L. and I. Das. 1999. Turtles of Borneo and Peninsular Malaysia. Natural History Publications, Kota Kinabalu, Malaysia. 151 pp; Das, I. 1995. Turtles and tortoises of India. Oxford University Press.;  Iskandar, D. T. 2000. ‘Turtles and Crocodiles of Insular Southeast Asia and New Guinea.’ (Institute of Technology: Bandung, Indonesia.)</t>
  </si>
  <si>
    <t>Bonin, F., B. Devaux, and A. Dupré. 2006, Turtles of the world Baltimore, Johns Hopkins University Press. 416 pp.; Zhao, E. 1998. China Red Data Book of Endangered Animals. Vol. 3. Amphibia and Reptilia. Beijing: Science Press, 330 pp. ; Zhou, J. and T. Zhou. 1992. Chinese Chelonians Illustrated. Nanjing: Jiangsu Science and Technology Publishing House, 89 pp.; Lim, B.L. and I. Das. 1999. Turtles of Borneo and Peninsular Malaysia. Natural History Publications, Kota Kinabalu, Malaysia. 151 pp;  Iskandar, D. T. 2000. ‘Turtles and Crocodiles of Insular Southeast Asia and New Guinea.’ (Institute of Technology: Bandung, Indonesia.)</t>
  </si>
  <si>
    <t>Branch, B. 2008. Tortoises, terrapins and turtles of Africa. Struik Publishers. Cape Town. 128 pp.; Gramentz, D. 2005. Die Nilweichschildkrote: Trionynx triunguis. Edition Chimaira, Frankfurt au Main, Germany; Luiselli, L. et al. 2004. Herpetological Journal 14:57–64</t>
  </si>
  <si>
    <t>Iverson (2023; Chelonian Conservation Biology 22:197–205).</t>
  </si>
  <si>
    <t>Iverson et al. (2022; Herpetological Review 53:115–116).</t>
  </si>
  <si>
    <t>Das, I. 1995. First record of Heosemys spinosa (Gray, 1830) from the Philippines, with biogeographic notes. Chelonian Conservation and Biology 2(1):80–82</t>
  </si>
  <si>
    <t>equation in error?</t>
  </si>
  <si>
    <t xml:space="preserve">     AnAge 2022. [http://genomics.senescence.info/species/][See de Magalhães, J.P. and J. Costa (2009) and Tacutu et al. (2013)].</t>
  </si>
  <si>
    <r>
      <t xml:space="preserve">    Congdon, J.D., K.A. Buhlmann, and J. W. Gibbons. 2022. Comparing life histories of the shortest-lived turtle known (Chicken Turtles, </t>
    </r>
    <r>
      <rPr>
        <i/>
        <sz val="12"/>
        <color rgb="FF000000"/>
        <rFont val="Times New Roman"/>
        <family val="1"/>
      </rPr>
      <t>Deirochelys reticularia</t>
    </r>
    <r>
      <rPr>
        <sz val="12"/>
        <color rgb="FF000000"/>
        <rFont val="Times New Roman"/>
        <family val="1"/>
      </rPr>
      <t>) with long-lived Blanding’s Turtles (</t>
    </r>
    <r>
      <rPr>
        <i/>
        <sz val="12"/>
        <color rgb="FF000000"/>
        <rFont val="Times New Roman"/>
        <family val="1"/>
      </rPr>
      <t>Emydoidea blandingii</t>
    </r>
    <r>
      <rPr>
        <sz val="12"/>
        <color rgb="FF000000"/>
        <rFont val="Times New Roman"/>
        <family val="1"/>
      </rPr>
      <t>). Chelonian Conservation and Biology 21:28–36.</t>
    </r>
  </si>
  <si>
    <r>
      <t xml:space="preserve">Els, J., A.R. Alqahtani, U. Fritz, M. Shobrak, S.M. Busais, and B. Burriel-Carranza. 2022. </t>
    </r>
    <r>
      <rPr>
        <i/>
        <sz val="12"/>
        <color rgb="FF000000"/>
        <rFont val="Times New Roman"/>
        <family val="1"/>
      </rPr>
      <t>Pelomedusa barbata</t>
    </r>
    <r>
      <rPr>
        <sz val="12"/>
        <color rgb="FF000000"/>
        <rFont val="Times New Roman"/>
        <family val="1"/>
      </rPr>
      <t xml:space="preserve"> Petzold, Vargas-Ramírez, Kehlmaier, Vamberger, Branch, Du Preez, Hofmeyr, Meyer, Schleicher, Široký, and Fritz 2014 –Arabian Helmeted Turtle, Arabian Marsh Turtle, Arabian Mud Turtle. In: Rhodin, A.G.J., Iverson, J.B., van Dijk, P.P., Stanford, C.B., Goode, E.V., Buhlmann, K.A., and Mittermeier, R.A. (Eds.). Conservation Biology of Freshwater Turtles and Tortoises: A Compilation Project of the IUCN/ SSC Tortoise and Freshwater Turtle Specialist Group. Chelonian Research Monographs 5:118.1–10.</t>
    </r>
  </si>
  <si>
    <r>
      <t>Kawata, K. 2003.</t>
    </r>
    <r>
      <rPr>
        <sz val="11"/>
        <color rgb="FF000000"/>
        <rFont val="Times New Roman"/>
        <family val="1"/>
      </rPr>
      <t xml:space="preserve"> Reptiles in Japanese collections. Part 1: Chelonians, 1998. International Zoo News 50:265–275. </t>
    </r>
  </si>
  <si>
    <r>
      <t xml:space="preserve">Pritchard, P.C.H. 1988. First captive reproduction of </t>
    </r>
    <r>
      <rPr>
        <i/>
        <sz val="12"/>
        <color rgb="FF000000"/>
        <rFont val="Times New Roman"/>
        <family val="1"/>
      </rPr>
      <t>Podocnemis expansa</t>
    </r>
    <r>
      <rPr>
        <sz val="12"/>
        <color rgb="FF000000"/>
        <rFont val="Times New Roman"/>
        <family val="1"/>
      </rPr>
      <t xml:space="preserve">. IUCN Tortoise and Freshwater Turtle Specialist Group Newsletter 3:1. </t>
    </r>
  </si>
  <si>
    <r>
      <t xml:space="preserve">Iverson, J. B. 1989. Natural history of the Alamos mud turtle </t>
    </r>
    <r>
      <rPr>
        <i/>
        <sz val="10"/>
        <color rgb="FF000000"/>
        <rFont val="Times New Roman"/>
        <family val="1"/>
      </rPr>
      <t>Kinosternon alamosae</t>
    </r>
    <r>
      <rPr>
        <sz val="10"/>
        <color rgb="FF000000"/>
        <rFont val="Times New Roman"/>
        <family val="1"/>
      </rPr>
      <t xml:space="preserve"> (Kinosternidae). Southwestern Naturalist 34(1):134-142.</t>
    </r>
  </si>
  <si>
    <t xml:space="preserve">Legler, J.M. 1965. A new species of turtle, genus Kinosternon, from Central America. University of Kansas Publications of the Museum of Natural History 15(13):617-625. </t>
  </si>
  <si>
    <r>
      <t xml:space="preserve">Cupul-Magaña, F. G., T. Butterfield, T. Gregory, J.B. Iverson, R. Macip-Ríos, and M.A. López-Luna. 2022. </t>
    </r>
    <r>
      <rPr>
        <i/>
        <sz val="10"/>
        <color rgb="FF000000"/>
        <rFont val="Times New Roman"/>
        <family val="1"/>
      </rPr>
      <t>Kinosternon vogti</t>
    </r>
    <r>
      <rPr>
        <sz val="10"/>
        <color rgb="FF000000"/>
        <rFont val="Times New Roman"/>
        <family val="1"/>
      </rPr>
      <t>. The IUCN Red List of Threatened Species 2022: e.T215164369A215164374 (15 pages).</t>
    </r>
  </si>
  <si>
    <r>
      <t xml:space="preserve">Ettmar, S. 2019. Toad-headed Turtles of the genus </t>
    </r>
    <r>
      <rPr>
        <i/>
        <sz val="10"/>
        <color rgb="FF000000"/>
        <rFont val="Times New Roman"/>
        <family val="1"/>
      </rPr>
      <t>Mesoclemmys.</t>
    </r>
    <r>
      <rPr>
        <sz val="10"/>
        <color rgb="FF000000"/>
        <rFont val="Times New Roman"/>
        <family val="1"/>
      </rPr>
      <t xml:space="preserve"> Edition Chimaira. 204 pp.</t>
    </r>
  </si>
  <si>
    <r>
      <t>Das, I. 1995. </t>
    </r>
    <r>
      <rPr>
        <i/>
        <sz val="10"/>
        <color rgb="FF222222"/>
        <rFont val="Times New Roman"/>
        <family val="1"/>
      </rPr>
      <t>Turtles and tortoises of India</t>
    </r>
    <r>
      <rPr>
        <sz val="10"/>
        <color rgb="FF222222"/>
        <rFont val="Times New Roman"/>
        <family val="1"/>
      </rPr>
      <t>. Oxford University Press.</t>
    </r>
  </si>
  <si>
    <t>Cabrera 1998; Ernst and Barbour 1989</t>
  </si>
  <si>
    <r>
      <t xml:space="preserve">Thomas, R. B., and K. P. Jansen. 2006. </t>
    </r>
    <r>
      <rPr>
        <i/>
        <sz val="10"/>
        <color theme="1"/>
        <rFont val="Times New Roman"/>
        <family val="1"/>
      </rPr>
      <t>Pseudemys floridana</t>
    </r>
    <r>
      <rPr>
        <sz val="10"/>
        <color rgb="FF000000"/>
        <rFont val="Times New Roman"/>
        <family val="1"/>
      </rPr>
      <t>. Florida cooter. Chelonian Research Monographs 3:338-347.</t>
    </r>
  </si>
  <si>
    <t>No data, but was part of callirostris; Vargas-Ramirez et al. 2017</t>
  </si>
  <si>
    <r>
      <t xml:space="preserve">Ettmar, S. 2019. Toad-headed Turtles of the genus </t>
    </r>
    <r>
      <rPr>
        <i/>
        <sz val="10"/>
        <color rgb="FF000000"/>
        <rFont val="Times New Roman"/>
        <family val="1"/>
      </rPr>
      <t>Mesoclemmys.</t>
    </r>
    <r>
      <rPr>
        <sz val="10"/>
        <color rgb="FF000000"/>
        <rFont val="Times New Roman"/>
        <family val="1"/>
      </rPr>
      <t xml:space="preserve"> Edition Chimaira. 204 pp.; Vogt, R.C. 2008. Tartarugas da Amazonia. Lima, Walter H. Wust. 104 pp.</t>
    </r>
  </si>
  <si>
    <r>
      <t xml:space="preserve">Ettmar, S. 2019. Toad-headed Turtles of the genus </t>
    </r>
    <r>
      <rPr>
        <i/>
        <sz val="10"/>
        <color rgb="FF000000"/>
        <rFont val="Times New Roman"/>
        <family val="1"/>
      </rPr>
      <t>Mesoclemmys.</t>
    </r>
    <r>
      <rPr>
        <sz val="10"/>
        <color rgb="FF000000"/>
        <rFont val="Times New Roman"/>
        <family val="1"/>
      </rPr>
      <t xml:space="preserve"> Edition Chimaira. 204 pp.; Bonin, F., B. Devaux, and A. Dupré. 2006, Turtles of the world Baltimore, Johns Hopkins University Press. 416 pp.</t>
    </r>
  </si>
  <si>
    <r>
      <t xml:space="preserve">Vogt, R.C. 2008. Tartarugas da Amazonia. Lima, Walter H. Wust. 104 pp.; Ettmar, S. 2019. Toad-headed Turtles of the genus </t>
    </r>
    <r>
      <rPr>
        <i/>
        <sz val="10"/>
        <color rgb="FF000000"/>
        <rFont val="Times New Roman"/>
        <family val="1"/>
      </rPr>
      <t>Mesoclemmys.</t>
    </r>
    <r>
      <rPr>
        <sz val="10"/>
        <color rgb="FF000000"/>
        <rFont val="Times New Roman"/>
        <family val="1"/>
      </rPr>
      <t xml:space="preserve"> Edition Chimaira. 204 pp.; Bonin, F., B. Devaux, and A. Dupré. 2006, Turtles of the world Baltimore, Johns Hopkins University Press. 416 pp.; Ettmar, S. 2019. Toad-headed Turtles of the genus Mesoclemmys. Edition Chimaira. 204 pp.</t>
    </r>
  </si>
  <si>
    <r>
      <t xml:space="preserve">Iverson, J. B., J. Carr, O. Castano-Mora, and G. Forero.  2012.  </t>
    </r>
    <r>
      <rPr>
        <i/>
        <sz val="10"/>
        <color rgb="FF000000"/>
        <rFont val="Times New Roman"/>
        <family val="1"/>
      </rPr>
      <t>Kinosternon dunni</t>
    </r>
    <r>
      <rPr>
        <sz val="10"/>
        <color rgb="FF000000"/>
        <rFont val="Times New Roman"/>
        <family val="1"/>
      </rPr>
      <t xml:space="preserve"> Schmidt 1947 -- Dunn’s Mud Turtle.  IN: Rhodin, A, G. J., P. C. H. Pritchard, P. P. van Dijk, R. A. Saumure, K. A. Buhlmann, J. B. Iverson, and R. A. Mittermeier (Editors), Conservation Biology of Freshwater Turtles and Tortoises.  Chelonian Research Monographs 5: 067.1-5.  </t>
    </r>
  </si>
  <si>
    <r>
      <t>Kinosternon stejnegeri</t>
    </r>
    <r>
      <rPr>
        <sz val="10"/>
        <rFont val="Times New Roman"/>
        <family val="1"/>
      </rPr>
      <t xml:space="preserve"> </t>
    </r>
    <r>
      <rPr>
        <vertAlign val="superscript"/>
        <sz val="10"/>
        <rFont val="Times New Roman"/>
        <family val="1"/>
      </rPr>
      <t>1</t>
    </r>
  </si>
  <si>
    <r>
      <t xml:space="preserve">Aldabrachelys gigantea </t>
    </r>
    <r>
      <rPr>
        <vertAlign val="superscript"/>
        <sz val="10"/>
        <color theme="1"/>
        <rFont val="Times New Roman"/>
        <family val="1"/>
      </rPr>
      <t>2</t>
    </r>
  </si>
  <si>
    <r>
      <t xml:space="preserve">Petrozzi, F., E.M. Hema, G.S. Demaya, J.S. Benansio, E.A. Eniang, T. Diagne, G.H. Segniagbetyo, and L. Luiselli. 2020. </t>
    </r>
    <r>
      <rPr>
        <i/>
        <sz val="12"/>
        <color rgb="FF000000"/>
        <rFont val="Times New Roman"/>
        <family val="1"/>
      </rPr>
      <t xml:space="preserve">Centrochelys sulcata </t>
    </r>
    <r>
      <rPr>
        <sz val="12"/>
        <color rgb="FF000000"/>
        <rFont val="Times New Roman"/>
        <family val="1"/>
      </rPr>
      <t xml:space="preserve">(Miller 1779) – African Spurred Tortoise, Grooved Tortoise, Sahel Tortoise, Tortue Sillonnée. In: Rhodin, A.G.J., Iverson, J.B., van Dijk, P.P., Stanford, C.B., Goode, E.V., Buhlmann, K.A., and Mittermeier, R.A. (Eds.). Conservation Biology of Freshwater Turtles and Tortoises: A Compilation Project of the IUCN/SSC Tortoise and Freshwater Turtle Specialist Group. Chelonian Research Monographs 5(14):110.1–16 </t>
    </r>
  </si>
  <si>
    <t>Habitat</t>
  </si>
  <si>
    <t>Semiaquatic</t>
  </si>
  <si>
    <t>Branch 2008 says A; Gramentz 2008 says Semiaquatic</t>
  </si>
  <si>
    <t>Bonin et al. 2006; Ernst and Barbour 1979 say Semiaquatic</t>
  </si>
  <si>
    <t>Das 1996; but Bonin et al. 2006 say Semiaquatic</t>
  </si>
  <si>
    <t>Bonin et al. 2006; Branch 2008 says maybe Semiaquatic based on captives</t>
  </si>
  <si>
    <t>Semiaquatic?</t>
  </si>
  <si>
    <t>Aquatic</t>
  </si>
  <si>
    <t>Terrestrial</t>
  </si>
  <si>
    <t>Semiaquatic/Aquatic</t>
  </si>
  <si>
    <t>Omnivorous</t>
  </si>
  <si>
    <t xml:space="preserve">Omnivorous </t>
  </si>
  <si>
    <t>Carnivorous</t>
  </si>
  <si>
    <t>Ettmar 2019; but Cabrera 1998 says Carnivorous</t>
  </si>
  <si>
    <t>Branch 2008, but Boycott and Bourquin 2000 = Carnivorous</t>
  </si>
  <si>
    <t>Herbivorous</t>
  </si>
  <si>
    <t>Aquatic?</t>
  </si>
  <si>
    <t>Assumed to be as cantorii</t>
  </si>
  <si>
    <t>Assumed to be as trifasciata</t>
  </si>
  <si>
    <t>Cagle (1950; Ecological Monographs 20:31–54)</t>
  </si>
  <si>
    <t>Nebrsaka Sandhills</t>
  </si>
  <si>
    <t>Iverson (2024; Northeastern Naturalist 31(sp12):77–117)</t>
  </si>
  <si>
    <t>up to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</si>
</sst>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
  </numFmts>
  <fonts count="37" x14ac:knownFonts="1">
    <font>
      <sz val="10"/>
      <color rgb="FF000000"/>
      <name val="Arial"/>
    </font>
    <font>
      <sz val="10"/>
      <name val="Arial"/>
      <family val="2"/>
    </font>
    <font>
      <sz val="9"/>
      <color indexed="81"/>
      <name val="Arial"/>
      <family val="2"/>
    </font>
    <font>
      <b/>
      <sz val="9"/>
      <color indexed="81"/>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0"/>
      <color rgb="FF000000"/>
      <name val="Times New Roman"/>
      <family val="1"/>
    </font>
    <font>
      <sz val="10"/>
      <name val="Times New Roman"/>
      <family val="1"/>
    </font>
    <font>
      <sz val="10"/>
      <color theme="1"/>
      <name val="Times New Roman"/>
      <family val="1"/>
    </font>
    <font>
      <b/>
      <sz val="9"/>
      <color indexed="81"/>
      <name val="Calibri"/>
      <family val="2"/>
    </font>
    <font>
      <sz val="9"/>
      <color indexed="81"/>
      <name val="Calibri"/>
      <family val="2"/>
    </font>
    <font>
      <sz val="10"/>
      <color rgb="FF000000"/>
      <name val="Arial"/>
      <family val="2"/>
    </font>
    <font>
      <sz val="12"/>
      <color theme="1"/>
      <name val="Calibri"/>
      <family val="2"/>
      <scheme val="minor"/>
    </font>
    <font>
      <i/>
      <sz val="10"/>
      <name val="Times New Roman"/>
      <family val="1"/>
    </font>
    <font>
      <sz val="10"/>
      <color rgb="FF000000"/>
      <name val="Arial"/>
      <family val="2"/>
    </font>
    <font>
      <sz val="12"/>
      <color rgb="FF000000"/>
      <name val="Times New Roman"/>
      <family val="1"/>
    </font>
    <font>
      <i/>
      <sz val="12"/>
      <color rgb="FF000000"/>
      <name val="Times New Roman"/>
      <family val="1"/>
    </font>
    <font>
      <b/>
      <sz val="12"/>
      <color rgb="FF000000"/>
      <name val="Times New Roman"/>
      <family val="1"/>
    </font>
    <font>
      <u/>
      <sz val="12"/>
      <color rgb="FF000000"/>
      <name val="Times New Roman"/>
      <family val="1"/>
    </font>
    <font>
      <sz val="11.5"/>
      <color rgb="FF000000"/>
      <name val="Times New Roman"/>
      <family val="1"/>
    </font>
    <font>
      <i/>
      <sz val="11.5"/>
      <color rgb="FF000000"/>
      <name val="Times New Roman"/>
      <family val="1"/>
    </font>
    <font>
      <vertAlign val="subscript"/>
      <sz val="12"/>
      <color rgb="FF000000"/>
      <name val="Times New Roman"/>
      <family val="1"/>
    </font>
    <font>
      <sz val="12"/>
      <name val="Times New Roman"/>
      <family val="1"/>
    </font>
    <font>
      <sz val="11"/>
      <color rgb="FF000000"/>
      <name val="Times New Roman"/>
      <family val="1"/>
    </font>
    <font>
      <sz val="10"/>
      <color rgb="FF222222"/>
      <name val="Times New Roman"/>
      <family val="1"/>
    </font>
    <font>
      <i/>
      <sz val="10"/>
      <color rgb="FF000000"/>
      <name val="Times New Roman"/>
      <family val="1"/>
    </font>
    <font>
      <i/>
      <sz val="10"/>
      <color rgb="FF222222"/>
      <name val="Times New Roman"/>
      <family val="1"/>
    </font>
    <font>
      <b/>
      <sz val="10"/>
      <name val="Times New Roman"/>
      <family val="1"/>
    </font>
    <font>
      <i/>
      <sz val="10"/>
      <color theme="1"/>
      <name val="Times New Roman"/>
      <family val="1"/>
    </font>
    <font>
      <b/>
      <sz val="10"/>
      <color rgb="FFFF0000"/>
      <name val="Times New Roman"/>
      <family val="1"/>
    </font>
    <font>
      <sz val="10"/>
      <color rgb="FFFF0000"/>
      <name val="Times New Roman"/>
      <family val="1"/>
    </font>
    <font>
      <vertAlign val="superscript"/>
      <sz val="10"/>
      <name val="Times New Roman"/>
      <family val="1"/>
    </font>
    <font>
      <vertAlign val="superscript"/>
      <sz val="10"/>
      <color theme="1"/>
      <name val="Times New Roman"/>
      <family val="1"/>
    </font>
    <font>
      <b/>
      <sz val="10"/>
      <color theme="1"/>
      <name val="Times New Roman"/>
      <family val="1"/>
    </font>
    <font>
      <b/>
      <sz val="10"/>
      <color rgb="FF000000"/>
      <name val="Times New Roman"/>
      <family val="1"/>
    </font>
  </fonts>
  <fills count="11">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CCFFCC"/>
        <bgColor indexed="64"/>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0"/>
        <bgColor indexed="64"/>
      </patternFill>
    </fill>
    <fill>
      <patternFill patternType="solid">
        <fgColor rgb="FFCCFFCC"/>
        <bgColor rgb="FFFFFFFF"/>
      </patternFill>
    </fill>
    <fill>
      <patternFill patternType="solid">
        <fgColor rgb="FFFF66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8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3" fillId="0" borderId="0" applyFont="0" applyFill="0" applyBorder="0" applyAlignment="0" applyProtection="0"/>
    <xf numFmtId="0" fontId="14" fillId="0" borderId="0"/>
    <xf numFmtId="0" fontId="1" fillId="0" borderId="0">
      <alignment vertical="center"/>
    </xf>
    <xf numFmtId="43" fontId="1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9">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9" fillId="2" borderId="1" xfId="0" applyFont="1" applyFill="1" applyBorder="1" applyAlignment="1">
      <alignment horizontal="center" vertical="center"/>
    </xf>
    <xf numFmtId="2" fontId="9" fillId="0" borderId="1" xfId="0" applyNumberFormat="1" applyFont="1" applyBorder="1" applyAlignment="1">
      <alignment horizontal="center" vertical="center"/>
    </xf>
    <xf numFmtId="0" fontId="9" fillId="0" borderId="1" xfId="0" applyFont="1" applyBorder="1" applyAlignment="1">
      <alignment horizontal="left" vertical="center"/>
    </xf>
    <xf numFmtId="2" fontId="9" fillId="0" borderId="1" xfId="0" quotePrefix="1" applyNumberFormat="1" applyFont="1" applyBorder="1" applyAlignment="1">
      <alignment horizontal="center" vertical="center"/>
    </xf>
    <xf numFmtId="2" fontId="8"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0" fontId="9" fillId="2" borderId="1" xfId="0" applyFont="1" applyFill="1" applyBorder="1" applyAlignment="1">
      <alignment horizontal="left" vertical="center"/>
    </xf>
    <xf numFmtId="1" fontId="9" fillId="0" borderId="1" xfId="0" applyNumberFormat="1" applyFont="1" applyBorder="1" applyAlignment="1">
      <alignment horizontal="center" vertical="center"/>
    </xf>
    <xf numFmtId="16" fontId="9" fillId="0" borderId="1" xfId="0" quotePrefix="1" applyNumberFormat="1" applyFont="1" applyBorder="1" applyAlignment="1">
      <alignment horizontal="center" vertical="center"/>
    </xf>
    <xf numFmtId="0" fontId="9"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6" borderId="1" xfId="0" applyFont="1" applyFill="1" applyBorder="1" applyAlignment="1">
      <alignment horizontal="left" vertical="center"/>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5" borderId="1" xfId="0" applyFont="1" applyFill="1" applyBorder="1" applyAlignment="1">
      <alignment horizontal="left" vertical="center"/>
    </xf>
    <xf numFmtId="0" fontId="9" fillId="8" borderId="1" xfId="0" applyFont="1" applyFill="1" applyBorder="1" applyAlignment="1">
      <alignment horizontal="center" vertical="center"/>
    </xf>
    <xf numFmtId="164" fontId="9" fillId="0" borderId="1" xfId="0" applyNumberFormat="1" applyFont="1" applyBorder="1" applyAlignment="1">
      <alignment horizontal="center" vertical="center"/>
    </xf>
    <xf numFmtId="2" fontId="8" fillId="0" borderId="1" xfId="0" quotePrefix="1" applyNumberFormat="1" applyFont="1" applyBorder="1" applyAlignment="1">
      <alignment horizontal="center" vertical="center"/>
    </xf>
    <xf numFmtId="16" fontId="9" fillId="0" borderId="1" xfId="0" applyNumberFormat="1" applyFont="1" applyBorder="1" applyAlignment="1">
      <alignment horizontal="center" vertical="center"/>
    </xf>
    <xf numFmtId="164" fontId="9" fillId="0" borderId="1" xfId="0" quotePrefix="1" applyNumberFormat="1" applyFont="1" applyBorder="1" applyAlignment="1">
      <alignment horizontal="center" vertical="center"/>
    </xf>
    <xf numFmtId="0" fontId="9" fillId="3" borderId="1" xfId="0" applyFont="1" applyFill="1" applyBorder="1" applyAlignment="1">
      <alignment horizontal="center" vertical="center"/>
    </xf>
    <xf numFmtId="0" fontId="8" fillId="0" borderId="1" xfId="0" quotePrefix="1"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8" fillId="0" borderId="1" xfId="0" applyFont="1" applyBorder="1" applyAlignment="1">
      <alignment vertical="center"/>
    </xf>
    <xf numFmtId="2" fontId="9" fillId="3"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0" borderId="1" xfId="40" applyNumberFormat="1" applyFont="1" applyFill="1" applyBorder="1" applyAlignment="1">
      <alignment horizontal="center" vertical="center"/>
    </xf>
    <xf numFmtId="2" fontId="9" fillId="0" borderId="1" xfId="40" applyNumberFormat="1" applyFont="1" applyBorder="1" applyAlignment="1">
      <alignment horizontal="center" vertical="center"/>
    </xf>
    <xf numFmtId="2" fontId="9" fillId="6" borderId="1" xfId="0" applyNumberFormat="1" applyFont="1" applyFill="1" applyBorder="1" applyAlignment="1">
      <alignment horizontal="center" vertical="center"/>
    </xf>
    <xf numFmtId="2" fontId="9" fillId="6" borderId="1" xfId="40" applyNumberFormat="1" applyFont="1" applyFill="1" applyBorder="1" applyAlignment="1">
      <alignment horizontal="center" vertical="center"/>
    </xf>
    <xf numFmtId="2" fontId="9" fillId="5" borderId="1" xfId="0" applyNumberFormat="1" applyFont="1" applyFill="1" applyBorder="1" applyAlignment="1">
      <alignment horizontal="center" vertical="center"/>
    </xf>
    <xf numFmtId="2" fontId="9" fillId="2" borderId="1" xfId="0" quotePrefix="1" applyNumberFormat="1" applyFont="1" applyFill="1" applyBorder="1" applyAlignment="1">
      <alignment horizontal="center" vertical="center"/>
    </xf>
    <xf numFmtId="49" fontId="9" fillId="0" borderId="1" xfId="0" applyNumberFormat="1" applyFont="1" applyBorder="1" applyAlignment="1">
      <alignment horizontal="center" vertical="center"/>
    </xf>
    <xf numFmtId="49" fontId="9" fillId="0" borderId="1" xfId="0" quotePrefix="1" applyNumberFormat="1" applyFont="1" applyBorder="1" applyAlignment="1">
      <alignment horizontal="center" vertical="center"/>
    </xf>
    <xf numFmtId="0" fontId="9" fillId="2" borderId="1" xfId="0" quotePrefix="1" applyFont="1" applyFill="1" applyBorder="1" applyAlignment="1">
      <alignment horizontal="center" vertical="center"/>
    </xf>
    <xf numFmtId="0" fontId="8" fillId="0" borderId="3" xfId="0" applyFont="1" applyBorder="1" applyAlignment="1">
      <alignment horizontal="center" vertical="center"/>
    </xf>
    <xf numFmtId="2" fontId="9" fillId="0" borderId="3" xfId="0" applyNumberFormat="1" applyFont="1" applyBorder="1" applyAlignment="1">
      <alignment horizontal="center" vertical="center"/>
    </xf>
    <xf numFmtId="0" fontId="9" fillId="0" borderId="3" xfId="0" applyFont="1" applyBorder="1" applyAlignment="1">
      <alignment horizontal="left" vertical="center"/>
    </xf>
    <xf numFmtId="0" fontId="17" fillId="0" borderId="0" xfId="0" applyFont="1" applyAlignment="1">
      <alignment horizontal="left" vertical="center" indent="3"/>
    </xf>
    <xf numFmtId="0" fontId="17" fillId="0" borderId="0" xfId="0" applyFont="1" applyAlignment="1">
      <alignment vertical="center"/>
    </xf>
    <xf numFmtId="0" fontId="19" fillId="0" borderId="0" xfId="0" applyFont="1" applyAlignment="1">
      <alignment horizontal="left" vertical="center" indent="3"/>
    </xf>
    <xf numFmtId="0" fontId="17" fillId="0" borderId="0" xfId="0" applyFont="1" applyAlignment="1">
      <alignment horizontal="left" vertical="center" indent="2"/>
    </xf>
    <xf numFmtId="0" fontId="21" fillId="0" borderId="0" xfId="0" applyFont="1" applyAlignment="1">
      <alignment horizontal="left" vertical="center" indent="3"/>
    </xf>
    <xf numFmtId="0" fontId="8" fillId="0" borderId="0" xfId="0" applyFont="1"/>
    <xf numFmtId="0" fontId="8" fillId="5" borderId="0" xfId="0" applyFont="1" applyFill="1"/>
    <xf numFmtId="0" fontId="24" fillId="5" borderId="0" xfId="0" applyFont="1" applyFill="1"/>
    <xf numFmtId="0" fontId="8" fillId="3" borderId="0" xfId="0" applyFont="1" applyFill="1"/>
    <xf numFmtId="0" fontId="9"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center" vertical="center"/>
    </xf>
    <xf numFmtId="0" fontId="26" fillId="0" borderId="0" xfId="0" applyFont="1"/>
    <xf numFmtId="0" fontId="8" fillId="0" borderId="0" xfId="0" applyFont="1" applyAlignment="1">
      <alignment vertical="center"/>
    </xf>
    <xf numFmtId="0" fontId="9" fillId="0" borderId="0" xfId="0" applyFont="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center" vertical="center"/>
    </xf>
    <xf numFmtId="0" fontId="9" fillId="0" borderId="0" xfId="0" applyFont="1" applyAlignment="1">
      <alignment horizontal="center" vertical="center"/>
    </xf>
    <xf numFmtId="0" fontId="9" fillId="3" borderId="0" xfId="0" applyFont="1" applyFill="1" applyAlignment="1">
      <alignment horizontal="center" vertical="center"/>
    </xf>
    <xf numFmtId="0" fontId="15" fillId="0" borderId="0" xfId="0" applyFont="1" applyAlignment="1">
      <alignment horizontal="center" vertical="center"/>
    </xf>
    <xf numFmtId="49" fontId="9" fillId="0" borderId="0" xfId="0" applyNumberFormat="1" applyFont="1" applyAlignment="1">
      <alignment horizontal="center" vertical="center"/>
    </xf>
    <xf numFmtId="49" fontId="9" fillId="0" borderId="0" xfId="0" applyNumberFormat="1" applyFont="1" applyAlignment="1">
      <alignment horizontal="left" vertical="center"/>
    </xf>
    <xf numFmtId="0" fontId="26" fillId="0" borderId="0" xfId="0" applyFont="1" applyAlignment="1">
      <alignment vertical="center"/>
    </xf>
    <xf numFmtId="0" fontId="8" fillId="0" borderId="0" xfId="0" applyFont="1" applyAlignment="1">
      <alignment horizontal="left" vertical="center" indent="2"/>
    </xf>
    <xf numFmtId="0" fontId="31" fillId="0" borderId="0" xfId="0" applyFont="1" applyAlignment="1">
      <alignment horizontal="left" vertical="center"/>
    </xf>
    <xf numFmtId="0" fontId="32" fillId="0" borderId="0" xfId="0" applyFont="1" applyAlignment="1">
      <alignment horizontal="left" vertical="center"/>
    </xf>
    <xf numFmtId="0" fontId="9" fillId="8" borderId="0" xfId="0" applyFont="1" applyFill="1" applyAlignment="1">
      <alignment horizontal="center" vertical="center"/>
    </xf>
    <xf numFmtId="0" fontId="15" fillId="8" borderId="0" xfId="0" applyFont="1" applyFill="1" applyAlignment="1">
      <alignment horizontal="center" vertical="center"/>
    </xf>
    <xf numFmtId="0" fontId="10" fillId="8" borderId="0" xfId="0" applyFont="1" applyFill="1" applyAlignment="1">
      <alignment horizontal="center" vertical="center"/>
    </xf>
    <xf numFmtId="0" fontId="30" fillId="8" borderId="0" xfId="0" applyFont="1" applyFill="1" applyAlignment="1">
      <alignment horizontal="center" vertical="center"/>
    </xf>
    <xf numFmtId="44" fontId="9" fillId="0" borderId="0" xfId="37" applyFont="1" applyAlignment="1">
      <alignment horizontal="left" vertical="center"/>
    </xf>
    <xf numFmtId="0" fontId="8" fillId="0" borderId="0" xfId="0" applyFont="1" applyAlignment="1">
      <alignment horizontal="left"/>
    </xf>
    <xf numFmtId="0" fontId="8" fillId="0" borderId="0" xfId="0" applyFont="1" applyAlignment="1">
      <alignment horizontal="center"/>
    </xf>
    <xf numFmtId="0" fontId="17" fillId="0" borderId="0" xfId="0" applyFont="1"/>
    <xf numFmtId="0" fontId="17" fillId="0" borderId="0" xfId="0" applyFont="1" applyAlignment="1">
      <alignment horizontal="center"/>
    </xf>
    <xf numFmtId="0" fontId="8" fillId="10" borderId="0" xfId="0" applyFont="1" applyFill="1"/>
    <xf numFmtId="0" fontId="35" fillId="0" borderId="0" xfId="0" applyFont="1" applyAlignment="1">
      <alignment horizontal="center" vertical="center"/>
    </xf>
    <xf numFmtId="0" fontId="36" fillId="0" borderId="0" xfId="0" applyFont="1" applyAlignment="1">
      <alignment horizontal="left" vertical="center" wrapText="1"/>
    </xf>
  </cellXfs>
  <cellStyles count="189">
    <cellStyle name="Comma" xfId="40" builtinId="3"/>
    <cellStyle name="Currency" xfId="3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Normal" xfId="0" builtinId="0"/>
    <cellStyle name="Normal 2" xfId="38" xr:uid="{00000000-0005-0000-0000-0000BB000000}"/>
    <cellStyle name="Normal 3" xfId="39" xr:uid="{00000000-0005-0000-0000-0000BC000000}"/>
  </cellStyles>
  <dxfs count="0"/>
  <tableStyles count="0" defaultTableStyle="TableStyleMedium2" defaultPivotStyle="PivotStyleLight16"/>
  <colors>
    <mruColors>
      <color rgb="FFCC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9"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8</xdr:col>
      <xdr:colOff>254000</xdr:colOff>
      <xdr:row>50</xdr:row>
      <xdr:rowOff>38100</xdr:rowOff>
    </xdr:to>
    <xdr:pic>
      <xdr:nvPicPr>
        <xdr:cNvPr id="3" name="Picture 2">
          <a:extLst>
            <a:ext uri="{FF2B5EF4-FFF2-40B4-BE49-F238E27FC236}">
              <a16:creationId xmlns:a16="http://schemas.microsoft.com/office/drawing/2014/main" id="{7DF5845A-A0BE-04F9-0A35-F263700CF9D4}"/>
            </a:ext>
          </a:extLst>
        </xdr:cNvPr>
        <xdr:cNvPicPr>
          <a:picLocks noChangeAspect="1"/>
        </xdr:cNvPicPr>
      </xdr:nvPicPr>
      <xdr:blipFill>
        <a:blip xmlns:r="http://schemas.openxmlformats.org/officeDocument/2006/relationships" r:embed="rId1"/>
        <a:stretch>
          <a:fillRect/>
        </a:stretch>
      </xdr:blipFill>
      <xdr:spPr>
        <a:xfrm>
          <a:off x="0" y="76200"/>
          <a:ext cx="6858000" cy="8216900"/>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JEnnen" id="{A274E469-7C18-426B-814C-E6A9C1902E17}" userId="JEnnen" providerId="None"/>
  <person displayName="TNACI-1341" id="{BB9FA97D-30F9-450E-953B-CAF857939ABE}" userId="TNACI-1341" providerId="None"/>
  <person displayName="Joshua R. Ennen" id="{9C2FB8A0-69AC-4C09-B3A4-DE31F95E4871}" userId="S::jre@tnaqua.org::297d590b-4f0b-4ff5-9558-3e0af6776383" providerId="AD"/>
  <person displayName="Ennen, Josh" id="{06DEDB07-59D1-417E-83D0-6B7F6C6F5DD5}" userId="S::joshua-ennen@utc.edu::ca614901-cf8f-4468-8b0d-13f248d9e203" providerId="AD"/>
  <person displayName="Ennen, Josh" id="{4E95C416-F42E-44F8-BD76-9627AA3B78BA}" userId="S::Josh.Ennen@stantec.com::eb017210-7e81-4368-a105-2eee2b11269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 dT="2020-05-13T21:21:52.29" personId="{BB9FA97D-30F9-450E-953B-CAF857939ABE}" id="{0C20F1C2-958C-4DF7-91D8-08210565ACD2}">
    <text>TAKEN FROM FIGURE 1</text>
  </threadedComment>
  <threadedComment ref="N3" dT="2020-09-29T12:15:54.43" personId="{9C2FB8A0-69AC-4C09-B3A4-DE31F95E4871}" id="{19F8F871-68BD-4BB7-AA0A-607CD6609EA2}">
    <text>estimated from BM-CL regression database using Georges and Kennett (1989)</text>
  </threadedComment>
  <threadedComment ref="S5" dT="2021-02-04T14:12:14.85" personId="{06DEDB07-59D1-417E-83D0-6B7F6C6F5DD5}" id="{101DFD68-912A-4BFC-BE76-3F4224D2D592}">
    <text>estimated from our egg regression database using a EL/EW ratio</text>
  </threadedComment>
  <threadedComment ref="S6" dT="2021-02-04T14:07:55.07" personId="{06DEDB07-59D1-417E-83D0-6B7F6C6F5DD5}" id="{10C97547-CE25-4F15-AEF6-5FC3D8D4E95E}">
    <text>estimated from our egg regression database using a EL/EW ratio</text>
  </threadedComment>
  <threadedComment ref="P9" dT="2020-07-31T12:58:30.41" personId="{9C2FB8A0-69AC-4C09-B3A4-DE31F95E4871}" id="{898417FE-9706-43F1-BB12-E7C221588008}">
    <text>N =1</text>
  </threadedComment>
  <threadedComment ref="I10" dT="2020-12-29T14:52:40.60" personId="{06DEDB07-59D1-417E-83D0-6B7F6C6F5DD5}" id="{95BC45A6-7B7F-4DD2-A5B9-1D8D252C8CFF}">
    <text>estimated from the publication. The authors report eggs were taken upstream above tidal and salinity influences. They said the location was between the following grids: FKg64736 and GK46837</text>
  </threadedComment>
  <threadedComment ref="T15" dT="2021-01-25T17:42:36.33" personId="{06DEDB07-59D1-417E-83D0-6B7F6C6F5DD5}" id="{81776CD1-C1FF-443C-BBBB-E06CF205FB36}">
    <text>estimated from 11-20 by taking median</text>
  </threadedComment>
  <threadedComment ref="T18" dT="2020-07-07T18:35:19.53" personId="{9C2FB8A0-69AC-4C09-B3A4-DE31F95E4871}" id="{478231D4-B03F-4182-9B76-0B8E904BF5B0}">
    <text>estimated from our egg data set (July 2020)</text>
  </threadedComment>
  <threadedComment ref="I23" dT="2021-01-21T14:41:12.72" personId="{06DEDB07-59D1-417E-83D0-6B7F6C6F5DD5}" id="{64353CD0-119F-48CF-88E4-7AC00E4D2BCF}">
    <text>ca. -22.9</text>
  </threadedComment>
  <threadedComment ref="N23" dT="2020-08-04T12:52:56.29" personId="{9C2FB8A0-69AC-4C09-B3A4-DE31F95E4871}" id="{B9E58B26-E6FE-46D2-AA0D-022B5B490DB0}">
    <text>estimated from the BM-CL regression dataset using Rhinemys rufipes by Lamar and Medem (1982) (Aug 2020)</text>
  </threadedComment>
  <threadedComment ref="T26" dT="2020-10-12T12:54:04.51" personId="{9C2FB8A0-69AC-4C09-B3A4-DE31F95E4871}" id="{0C21A039-5BA2-48B2-9D54-BE06B2A53BCF}">
    <text>estimated from egg regression database from D'Amato and Morato (1991)</text>
  </threadedComment>
  <threadedComment ref="N27" dT="2020-08-04T12:52:56.29" personId="{9C2FB8A0-69AC-4C09-B3A4-DE31F95E4871}" id="{B936AE99-0F5E-408F-8FE0-ACE53C600976}">
    <text>estimated from the BM-CL regression dataset using Rhinemys rufipes by Lamar and Medem (1982) (Aug 2020)</text>
  </threadedComment>
  <threadedComment ref="N32" dT="2020-10-06T15:49:06.27" personId="{9C2FB8A0-69AC-4C09-B3A4-DE31F95E4871}" id="{7526FFD1-F985-44EF-812A-83173D79FE81}">
    <text>estimated from BM-CL regression database using C. expansa (Oct 2020)</text>
  </threadedComment>
  <threadedComment ref="N33" dT="2020-09-29T12:19:17.60" personId="{9C2FB8A0-69AC-4C09-B3A4-DE31F95E4871}" id="{946CF457-0B45-4D63-8434-F5A22E2AFDBD}">
    <text>estimated from BM-CL regression database using Chessman (1978)</text>
  </threadedComment>
  <threadedComment ref="N36" dT="2020-09-29T12:19:17.60" personId="{9C2FB8A0-69AC-4C09-B3A4-DE31F95E4871}" id="{2AC43671-1A9F-4B12-BB62-1DA9A9BB09A6}">
    <text>estimated from BM-CL regression database using Chessman (1978)</text>
  </threadedComment>
  <threadedComment ref="M37" dT="2020-09-24T15:00:39.15" personId="{9C2FB8A0-69AC-4C09-B3A4-DE31F95E4871}" id="{91915F2E-7BD1-4CA4-9C62-50BFF7FBC3EC}">
    <text>estimated from Fig. 4.2 in thesis</text>
  </threadedComment>
  <threadedComment ref="N37" dT="2020-09-29T12:19:17.60" personId="{9C2FB8A0-69AC-4C09-B3A4-DE31F95E4871}" id="{41068EB6-AFB8-4070-B49A-2768890D3441}">
    <text>estimated from BM-CL regression database using Chessman (1978)</text>
  </threadedComment>
  <threadedComment ref="N38" dT="2020-09-29T12:19:17.60" personId="{9C2FB8A0-69AC-4C09-B3A4-DE31F95E4871}" id="{CF60C988-11C2-4A36-961D-1F1D7277FA19}">
    <text>estimated from BM-CL regression database using Chessman (1978)</text>
  </threadedComment>
  <threadedComment ref="N40" dT="2020-09-29T12:19:17.60" personId="{9C2FB8A0-69AC-4C09-B3A4-DE31F95E4871}" id="{82A97584-5938-4463-8A64-00555B9EEE3C}">
    <text>estimated from BM-CL regression database using Chessman (1978)</text>
  </threadedComment>
  <threadedComment ref="P40" dT="2021-01-25T17:16:44.80" personId="{06DEDB07-59D1-417E-83D0-6B7F6C6F5DD5}" id="{449F4759-1203-4477-8F9A-688231E1E58A}">
    <text>estimate ca. 20</text>
  </threadedComment>
  <threadedComment ref="T49" dT="2020-10-12T12:57:17.87" personId="{9C2FB8A0-69AC-4C09-B3A4-DE31F95E4871}" id="{024FF63C-6595-4213-A08C-A223E811C376}">
    <text>estimated from egg regression database using A. Georges pers.comm. (Oct 2020)</text>
  </threadedComment>
  <threadedComment ref="M54" dT="2020-06-26T18:01:53.26" personId="{9C2FB8A0-69AC-4C09-B3A4-DE31F95E4871}" id="{3028D9F0-9323-4803-B1CC-B5FF60B4BA74}">
    <text>Estimated from regression BM = 0.200*CL^2.78 Chessman 1978</text>
  </threadedComment>
  <threadedComment ref="R56" dT="2020-04-01T23:31:41.80" personId="{BB9FA97D-30F9-450E-953B-CAF857939ABE}" id="{9AFE8858-B2B0-4722-8920-0BE8FA0A5788}">
    <text>estimated from EM = 0.249EL + 0.698EW - 14.434 Iverson unpublished data (July 2020)</text>
  </threadedComment>
  <threadedComment ref="R62" dT="2020-04-01T23:31:41.80" personId="{BB9FA97D-30F9-450E-953B-CAF857939ABE}" id="{FBEBE5E1-9EB0-47AA-8F01-5E131AD76E8F}">
    <text>estimated from EM = 0.249EL + 0.698EW - 14.434 Iverson unpublished data (July 2020)</text>
  </threadedComment>
  <threadedComment ref="N67" dT="2021-02-03T15:15:28.12" personId="{06DEDB07-59D1-417E-83D0-6B7F6C6F5DD5}" id="{06F31C1D-0C3C-49C7-A4F2-5F671224410E}">
    <text>estimated from our BM-CL regression databaser using Cuora amboinensis Paul Crow (pers. comm.)</text>
  </threadedComment>
  <threadedComment ref="P67" dT="2021-03-01T17:14:12.84" personId="{06DEDB07-59D1-417E-83D0-6B7F6C6F5DD5}" id="{2E51F7EA-CAF3-41BE-A16E-DA7F2892DD69}">
    <text>up to 16</text>
  </threadedComment>
  <threadedComment ref="T67" dT="2021-01-25T17:41:34.68" personId="{06DEDB07-59D1-417E-83D0-6B7F6C6F5DD5}" id="{39B9B348-48CF-48F4-80F8-F9C2E1FB01B0}">
    <text>estimated from 6-8 by taking median</text>
  </threadedComment>
  <threadedComment ref="N69" dT="2020-07-08T19:37:44.90" personId="{9C2FB8A0-69AC-4C09-B3A4-DE31F95E4871}" id="{9CFF963F-BBC1-4A40-8663-683F85A01514}">
    <text>estimated from BM/CL regression (Büttner 2016) from Chelodina oblonga (July 2020)</text>
  </threadedComment>
  <threadedComment ref="N71" dT="2020-07-08T19:37:44.90" personId="{9C2FB8A0-69AC-4C09-B3A4-DE31F95E4871}" id="{8B5F3E73-584D-4CD7-A04C-509DA65F8629}">
    <text>estimated from BM/CL regression (Büttner 2016) from Chelodina oblonga (July 2020)</text>
  </threadedComment>
  <threadedComment ref="M72" dT="2021-01-22T16:03:18.79" personId="{06DEDB07-59D1-417E-83D0-6B7F6C6F5DD5}" id="{DFACF08F-265F-4A2D-981E-78B28FF2ACFB}">
    <text>error in the original paper.  "C. colliei Clay 1981.  CL needes to be changed to 19.35.  In his table 6 he provides a CL column and a CW column but there is clearly a typo in the heading since CW cannot exceed CL.  The paper says CL = 12.51, but clearly he means CL = 19.35. "</text>
  </threadedComment>
  <threadedComment ref="N73" dT="2020-09-29T12:18:10.03" personId="{9C2FB8A0-69AC-4C09-B3A4-DE31F95E4871}" id="{1D1B9678-FCBF-4EAE-B579-85A53FE36C6A}">
    <text>Estimated from BM-CL regression database using Kuchling (2002)</text>
  </threadedComment>
  <threadedComment ref="T73" dT="2020-07-08T13:16:31.61" personId="{9C2FB8A0-69AC-4C09-B3A4-DE31F95E4871}" id="{79E6FE13-2F0B-408A-B512-F0CBAF159BAA}">
    <text>Estimated from regression from egg data using C. longicollis (July 2020) using A. Georges pers.comm.</text>
  </threadedComment>
  <threadedComment ref="P74" dT="2021-03-01T17:17:09.18" personId="{06DEDB07-59D1-417E-83D0-6B7F6C6F5DD5}" id="{F7E0CE68-18DC-4FFC-BF9E-4113A83BE42B}">
    <text>up to 16</text>
  </threadedComment>
  <threadedComment ref="N78" dT="2020-08-26T19:30:59.88" personId="{9C2FB8A0-69AC-4C09-B3A4-DE31F95E4871}" id="{C60E2E01-80BA-42E6-B70F-960C7B100366}">
    <text>estimated from BM-CL regressions via C. oblonga using Büttner (2016).</text>
  </threadedComment>
  <threadedComment ref="T78" dT="2020-10-12T12:27:20.75" personId="{9C2FB8A0-69AC-4C09-B3A4-DE31F95E4871}" id="{71C10E5B-2711-415D-B06B-45BD5361084C}">
    <text>estimated from our egg data set from C. expansa (Oct 2020)</text>
  </threadedComment>
  <threadedComment ref="T81" dT="2020-10-12T13:00:04.48" personId="{9C2FB8A0-69AC-4C09-B3A4-DE31F95E4871}" id="{06B0C945-EE29-43F2-BD35-AD555CFF5BD4}">
    <text>Estimated from egg regression database using P. geoffroanus (Oct 2020)</text>
  </threadedComment>
  <threadedComment ref="R83" dT="2020-08-03T15:39:30.64" personId="{9C2FB8A0-69AC-4C09-B3A4-DE31F95E4871}" id="{CFEDEB44-4B8C-46F1-AB3D-D10F4A143D2C}">
    <text>estimated from egg database using P. geoffroanus</text>
  </threadedComment>
  <threadedComment ref="S83" dT="2020-08-03T15:39:30.64" personId="{9C2FB8A0-69AC-4C09-B3A4-DE31F95E4871}" id="{8E2A923E-EB54-440F-98DE-CA60AEE319FB}">
    <text>estimated from egg database using P. geoffroanus</text>
  </threadedComment>
  <threadedComment ref="N87" dT="2020-07-08T19:37:44.90" personId="{9C2FB8A0-69AC-4C09-B3A4-DE31F95E4871}" id="{7FEA4CBA-5D00-4568-83A0-2D7C05B74BBD}">
    <text>estimated from BM/CL regression (Büttner 2016) from Chelodina oblonga (July 2020)</text>
  </threadedComment>
  <threadedComment ref="M89" dT="2021-02-03T15:18:31.11" personId="{06DEDB07-59D1-417E-83D0-6B7F6C6F5DD5}" id="{47C40620-337F-44C2-80A3-F7975EFED926}">
    <text>estimated from BM/CL regression (Büttner 2016) from Chelodina oblonga</text>
  </threadedComment>
  <threadedComment ref="N90" dT="2020-07-08T19:37:44.90" personId="{9C2FB8A0-69AC-4C09-B3A4-DE31F95E4871}" id="{3A276F11-DF1A-4F6B-B9C4-00E6F71E454A}">
    <text>estimated from BM/CL regression (Büttner 2016) from Chelodina oblonga (July 2020)</text>
  </threadedComment>
  <threadedComment ref="N91" dT="2020-07-08T19:37:44.90" personId="{9C2FB8A0-69AC-4C09-B3A4-DE31F95E4871}" id="{DCED0E80-F987-4A2D-86EB-8E1BA463B702}">
    <text>estimated from BM/CL regression (Büttner 2016) from Chelodina oblonga (July 2020)</text>
  </threadedComment>
  <threadedComment ref="N93" dT="2020-07-08T19:37:44.90" personId="{9C2FB8A0-69AC-4C09-B3A4-DE31F95E4871}" id="{3C148587-4D73-426B-A145-4855BD75FD95}">
    <text>estimated from BM/CL regression (Büttner 2016) from Chelodina oblonga (July 2020)</text>
  </threadedComment>
  <threadedComment ref="N94" dT="2020-07-08T19:37:44.90" personId="{9C2FB8A0-69AC-4C09-B3A4-DE31F95E4871}" id="{80DFA92A-889E-432F-90E9-A24B0698F6E1}">
    <text>estimated from BM/CL regression (Büttner 2016) from Chelodina oblonga (July 2020)</text>
  </threadedComment>
  <threadedComment ref="N95" dT="2020-08-26T19:30:59.88" personId="{9C2FB8A0-69AC-4C09-B3A4-DE31F95E4871}" id="{3A1FF33B-097B-4BD1-834C-84D96BBE7FC8}">
    <text>estimated from BM-CL regressions via C. oblonga using Büttner (2016).</text>
  </threadedComment>
  <threadedComment ref="T95" dT="2020-10-12T12:47:04.38" personId="{9C2FB8A0-69AC-4C09-B3A4-DE31F95E4871}" id="{857388DF-0DD2-4783-8DFF-65E36BCC6C59}">
    <text>estimated from egg regression database using C. longicollis (Oct 2020)</text>
  </threadedComment>
  <threadedComment ref="X95" dT="2020-07-13T17:58:19.34" personId="{9C2FB8A0-69AC-4C09-B3A4-DE31F95E4871}" id="{0B314A62-12B5-4F1E-BDFA-B20984A6D975}">
    <text>Deleted duplicate had two clutches per year</text>
  </threadedComment>
  <threadedComment ref="D97" dT="2020-10-12T12:38:03.41" personId="{9C2FB8A0-69AC-4C09-B3A4-DE31F95E4871}" id="{53EAE614-61B5-4405-8DF4-1CC804FA243C}">
    <text>couldn't determine which species..."could be C. orinocensis"</text>
  </threadedComment>
  <threadedComment ref="D98" dT="2020-10-12T12:38:03.41" personId="{9C2FB8A0-69AC-4C09-B3A4-DE31F95E4871}" id="{7D674731-FC91-4EA3-9DBD-5FE161C8E70B}">
    <text>couldn't determine which species..."could be C. orinocensis"</text>
  </threadedComment>
  <threadedComment ref="M98" dT="2020-04-15T18:17:22.35" personId="{BB9FA97D-30F9-450E-953B-CAF857939ABE}" id="{B073969A-9CD8-471B-AC26-8D9B756A9786}">
    <text>estimated from regression Iverson unpublished data</text>
  </threadedComment>
  <threadedComment ref="D99" dT="2020-10-12T12:38:03.41" personId="{9C2FB8A0-69AC-4C09-B3A4-DE31F95E4871}" id="{22BBAECD-16B1-4570-9D37-9C8EB8AB1E1C}">
    <text>couldn't determine which species..."could be C. orinocensis"</text>
  </threadedComment>
  <threadedComment ref="N100" dT="2021-02-03T15:10:53.31" personId="{06DEDB07-59D1-417E-83D0-6B7F6C6F5DD5}" id="{558EADC5-98C6-4890-A7C6-64602E73034D}">
    <text>estimated from our BM_CL regression databased (Buttner 2014)</text>
  </threadedComment>
  <threadedComment ref="T101" dT="2021-01-25T17:45:35.22" personId="{06DEDB07-59D1-417E-83D0-6B7F6C6F5DD5}" id="{893DEC8F-D323-4C5F-96A7-675FB5C69D55}">
    <text>estimated from 25-40 by taking median</text>
  </threadedComment>
  <threadedComment ref="D102" dT="2020-10-12T12:38:03.41" personId="{9C2FB8A0-69AC-4C09-B3A4-DE31F95E4871}" id="{1AE23A80-8E83-4C73-9E97-0C03EEDFCB23}">
    <text>couldn't determine which species..."could be C. orinocensis"</text>
  </threadedComment>
  <threadedComment ref="D103" dT="2020-10-12T12:38:03.41" personId="{9C2FB8A0-69AC-4C09-B3A4-DE31F95E4871}" id="{08C10DD8-E96D-4422-BCBC-E63FA607F1EA}">
    <text>couldn't determine which species..."could be C. orinocensis"</text>
  </threadedComment>
  <threadedComment ref="M109" dT="2020-08-04T13:28:50.62" personId="{9C2FB8A0-69AC-4C09-B3A4-DE31F95E4871}" id="{2A4D5E3D-49DA-470A-B747-D447D2BAC8CC}">
    <text>estimated from BM-CL regression dataset using Emydura macquarii krefftii (Georges 1982)</text>
  </threadedComment>
  <threadedComment ref="N111" dT="2020-08-04T13:32:01.59" personId="{9C2FB8A0-69AC-4C09-B3A4-DE31F95E4871}" id="{5ABDE836-A512-4685-8955-FCB62FD6596A}">
    <text>estimated from BM-CL regression dataset using Emydura macquarii krefftii (Georges 1982)</text>
  </threadedComment>
  <threadedComment ref="N112" dT="2020-08-04T13:32:01.59" personId="{9C2FB8A0-69AC-4C09-B3A4-DE31F95E4871}" id="{E52EEF1D-AB1C-4C05-84F6-F011E5C45AAC}">
    <text>estimated from BM-CL regression dataset using Emydura macquarii krefftii (Georges 1982)</text>
  </threadedComment>
  <threadedComment ref="N113" dT="2020-08-04T13:32:01.59" personId="{9C2FB8A0-69AC-4C09-B3A4-DE31F95E4871}" id="{4BDBCBE3-FEE6-4E81-A690-FCE200BF35DD}">
    <text>estimated from BM-CL regression dataset using Emydura macquarii krefftii (Georges 1982)</text>
  </threadedComment>
  <threadedComment ref="N114" dT="2020-08-04T13:32:01.59" personId="{9C2FB8A0-69AC-4C09-B3A4-DE31F95E4871}" id="{F1C376DD-761A-458A-9F1D-F5A59ABBF618}">
    <text>estimated from BM-CL regression dataset using Emydura macquarii krefftii (Georges 1982)</text>
  </threadedComment>
  <threadedComment ref="N118" dT="2020-08-04T13:32:01.59" personId="{9C2FB8A0-69AC-4C09-B3A4-DE31F95E4871}" id="{147390AD-DE28-4798-9151-E8CB3B41715C}">
    <text>estimated from BM-CL regression dataset using Emydura macquarii krefftii (Georges 1982)</text>
  </threadedComment>
  <threadedComment ref="T119" dT="2020-07-08T14:10:00.05" personId="{9C2FB8A0-69AC-4C09-B3A4-DE31F95E4871}" id="{45557A8A-A443-4C30-94C4-511F44D297F7}">
    <text>Estimated from Iverson egg data using E. dentata regression (July 2020)</text>
  </threadedComment>
  <threadedComment ref="N120" dT="2020-08-04T13:32:01.59" personId="{9C2FB8A0-69AC-4C09-B3A4-DE31F95E4871}" id="{452E2CAC-7BE5-410A-88D8-B0D6097B958D}">
    <text>estimated from BM-CL regression dataset using Emydura macquarii krefftii (Georges 1982)</text>
  </threadedComment>
  <threadedComment ref="N125" dT="2021-02-15T20:06:58.02" personId="{06DEDB07-59D1-417E-83D0-6B7F6C6F5DD5}" id="{32E0EEB1-141C-4B57-8A80-3B5C2A87BC5D}">
    <text>estimated from BM-CL equation from Georges et al. 1982 for E. macquarii kreffti</text>
  </threadedComment>
  <threadedComment ref="D136" dT="2020-03-12T16:11:08.42" personId="{9C2FB8A0-69AC-4C09-B3A4-DE31F95E4871}" id="{577D1F7B-F662-4E0D-908A-6E3605AC7C15}">
    <text>booth uses E. signata</text>
  </threadedComment>
  <threadedComment ref="R139" dT="2021-01-18T13:52:32.10" personId="{06DEDB07-59D1-417E-83D0-6B7F6C6F5DD5}" id="{7C51F979-21ED-4331-8222-4148DA8AAC3F}">
    <text>"32.5 to 41.35"</text>
  </threadedComment>
  <threadedComment ref="S139" dT="2021-01-18T14:09:02.86" personId="{06DEDB07-59D1-417E-83D0-6B7F6C6F5DD5}" id="{E02ACCBF-94E2-45FF-BE31-F7B4DE51AB69}">
    <text>estimated from or egg dataset for E. subglobosa</text>
  </threadedComment>
  <threadedComment ref="T139" dT="2021-01-18T13:53:07.07" personId="{06DEDB07-59D1-417E-83D0-6B7F6C6F5DD5}" id="{5F4E0BE5-468A-41A3-9A4A-56B9C1666C3A}">
    <text>estimated from our egg dataset for E. macquarii (Jan 2021)</text>
  </threadedComment>
  <threadedComment ref="O151" dT="2022-02-13T12:43:07.75" personId="{4E95C416-F42E-44F8-BD76-9627AA3B78BA}" id="{50DD3800-1C91-48C4-8E6A-29A361DBEA33}">
    <text>8-10 reported</text>
  </threadedComment>
  <threadedComment ref="N153" dT="2020-08-04T13:02:46.69" personId="{9C2FB8A0-69AC-4C09-B3A4-DE31F95E4871}" id="{9C036B8C-1A33-4C58-A99A-602734E54AF9}">
    <text>estimated from BM-CL regression dataset using Emydura macquarii from (Chessman 1978) (Aug 2020)</text>
  </threadedComment>
  <threadedComment ref="T153" dT="2021-01-25T17:41:20.10" personId="{06DEDB07-59D1-417E-83D0-6B7F6C6F5DD5}" id="{1C39A1CA-00CE-45C0-874E-5F35097650B1}">
    <text>estimated from 5-6 by taking median</text>
  </threadedComment>
  <threadedComment ref="R161" dT="2020-12-28T15:41:35.14" personId="{06DEDB07-59D1-417E-83D0-6B7F6C6F5DD5}" id="{B9E235A1-CE4E-45A8-A84F-AEB8CAD69CE9}">
    <text>reported 33-40</text>
  </threadedComment>
  <threadedComment ref="S161" dT="2020-12-28T15:41:17.37" personId="{06DEDB07-59D1-417E-83D0-6B7F6C6F5DD5}" id="{E85EFFC5-433C-4682-B24A-4F07CA42B665}">
    <text>reported '17-18</text>
  </threadedComment>
  <threadedComment ref="T161" dT="2021-02-03T18:45:14.57" personId="{06DEDB07-59D1-417E-83D0-6B7F6C6F5DD5}" id="{72868583-DE32-48FD-A43F-4040E565CF5F}">
    <text>estimated from our egg regression database.</text>
  </threadedComment>
  <threadedComment ref="N165" dT="2021-02-15T20:06:58.02" personId="{06DEDB07-59D1-417E-83D0-6B7F6C6F5DD5}" id="{64790B9F-3797-4E54-AB9A-091948B8D500}">
    <text>estimated from BM-CL equation from Georges et al. 1982 for E. macquarii kreffti</text>
  </threadedComment>
  <threadedComment ref="M166" dT="2021-02-15T20:06:58.02" personId="{06DEDB07-59D1-417E-83D0-6B7F6C6F5DD5}" id="{22F83EA5-3936-4946-813F-3A2C70A3A2D2}">
    <text>estimated from BM-CL equation from Georges et al. 1982 for E. macquarii kreffti</text>
  </threadedComment>
  <threadedComment ref="N168" dT="2020-07-27T10:12:25.54" personId="{9C2FB8A0-69AC-4C09-B3A4-DE31F95E4871}" id="{6C5FD587-33F7-40EE-8EFB-488DF53CAF4D}">
    <text>based on BM-CL data in Souza 1995</text>
  </threadedComment>
  <threadedComment ref="T168" dT="2020-07-08T14:33:23.03" personId="{9C2FB8A0-69AC-4C09-B3A4-DE31F95E4871}" id="{88C9D8ED-83A8-4F2C-81ED-A2D161253DB9}">
    <text>estimated from our egg data set using M. gibba (Aug 2020)</text>
  </threadedComment>
  <threadedComment ref="O169" dT="2022-02-13T13:46:56.44" personId="{4E95C416-F42E-44F8-BD76-9627AA3B78BA}" id="{028D3968-2C1C-4A8E-A971-BD18A13B219B}">
    <text>9-10 years reported</text>
  </threadedComment>
  <threadedComment ref="T170" dT="2020-07-08T14:33:23.03" personId="{9C2FB8A0-69AC-4C09-B3A4-DE31F95E4871}" id="{810BB6E5-C283-441D-8DE1-5C0659BE0126}">
    <text>estimated from our egg data set using M. gibba (Aug 2020)</text>
  </threadedComment>
  <threadedComment ref="T171" dT="2020-07-08T14:33:23.03" personId="{9C2FB8A0-69AC-4C09-B3A4-DE31F95E4871}" id="{1A777D90-F79B-4A36-9E92-45C4A2411190}">
    <text>estimated from our egg data set using M. gibba (Aug 2020)</text>
  </threadedComment>
  <threadedComment ref="S173" dT="2020-07-27T10:08:12.74" personId="{9C2FB8A0-69AC-4C09-B3A4-DE31F95E4871}" id="{1ABC7A47-771B-4204-8FC8-A3AEF3F7F73B}">
    <text>estimated from EL/EW ratio in Bager and Bach 2003</text>
  </threadedComment>
  <threadedComment ref="F174" dT="2021-03-15T14:42:58.92" personId="{06DEDB07-59D1-417E-83D0-6B7F6C6F5DD5}" id="{585192E9-5EB1-47E7-B5C4-072190C70745}">
    <text>(Sao Paulo Zoo)</text>
  </threadedComment>
  <threadedComment ref="F175" dT="2021-03-15T14:43:16.41" personId="{06DEDB07-59D1-417E-83D0-6B7F6C6F5DD5}" id="{4AE8BABD-57D6-46E7-A8E5-AB4A038C8C48}">
    <text>Uruguay</text>
  </threadedComment>
  <threadedComment ref="R176" dT="2020-07-27T10:09:13.81" personId="{9C2FB8A0-69AC-4C09-B3A4-DE31F95E4871}" id="{B52C4DC5-72F6-450F-9E45-045C874E58F9}">
    <text>estimated from EL/EW ratio in Bager and Bach 2003</text>
  </threadedComment>
  <threadedComment ref="T178" dT="2020-07-08T14:33:23.03" personId="{9C2FB8A0-69AC-4C09-B3A4-DE31F95E4871}" id="{55AA27D1-154A-4165-8520-2E160FD13129}">
    <text>estimated from our egg data set using M. gibba (Aug 2020)</text>
  </threadedComment>
  <threadedComment ref="N180" dT="2020-08-04T13:05:49.29" personId="{9C2FB8A0-69AC-4C09-B3A4-DE31F95E4871}" id="{D84B34C8-8A74-4E3B-95CE-C2221C45E6A2}">
    <text>estimated from BM-CL regression using Rhinemys rufipes from Lamar and Medem (1982)</text>
  </threadedComment>
  <threadedComment ref="T180" dT="2020-07-08T14:33:23.03" personId="{9C2FB8A0-69AC-4C09-B3A4-DE31F95E4871}" id="{C1E3F163-F846-49DE-865C-42C26E4208C4}">
    <text>estimated from our egg data set using Phrynops geoffroanus (July 2020)</text>
  </threadedComment>
  <threadedComment ref="T181" dT="2020-07-08T14:33:23.03" personId="{9C2FB8A0-69AC-4C09-B3A4-DE31F95E4871}" id="{8DEEB692-67B9-4000-9DB5-4094117B3999}">
    <text>estimated from our egg data set using Phrynops geoffroanus (July 2020)</text>
  </threadedComment>
  <threadedComment ref="N182" dT="2020-08-04T13:05:49.29" personId="{9C2FB8A0-69AC-4C09-B3A4-DE31F95E4871}" id="{5283F7F3-8288-424F-ADF4-15CA077347AC}">
    <text>estimated from BM-CL regression using Rhinemys rufipes from Lamar and Medem (1982)</text>
  </threadedComment>
  <threadedComment ref="N187" dT="2020-08-04T13:05:49.29" personId="{9C2FB8A0-69AC-4C09-B3A4-DE31F95E4871}" id="{F07669B7-1D65-4C28-9650-E9F15AC63709}">
    <text>estimated from BM-CL regression using Rhinemys rufipes from Lamar and Medem (1982)</text>
  </threadedComment>
  <threadedComment ref="N188" dT="2021-02-15T20:12:25.30" personId="{06DEDB07-59D1-417E-83D0-6B7F6C6F5DD5}" id="{8893F0F1-3039-426B-B762-2AC99FE8EDFC}">
    <text>estimated from our BM_CL regression dataset for R. rufipes</text>
  </threadedComment>
  <threadedComment ref="D192" dT="2022-01-09T14:43:37.20" personId="{4E95C416-F42E-44F8-BD76-9627AA3B78BA}" id="{64C91D22-EA31-46EF-A7AA-4A80A6D6A280}">
    <text>Originally M. heliostemma</text>
  </threadedComment>
  <threadedComment ref="N193" dT="2020-08-04T13:05:49.29" personId="{9C2FB8A0-69AC-4C09-B3A4-DE31F95E4871}" id="{C64C322C-03FE-4C14-A128-E953FA966226}">
    <text>estimated from BM-CL regression using Rhinemys rufipes from Lamar and Medem (1982)</text>
  </threadedComment>
  <threadedComment ref="D194" dT="2022-01-09T14:43:37.20" personId="{4E95C416-F42E-44F8-BD76-9627AA3B78BA}" id="{03F3BC66-8DFD-4718-BE29-0BFB78236135}">
    <text>Originally M. heliostemma</text>
  </threadedComment>
  <threadedComment ref="T194" dT="2020-07-08T14:53:59.16" personId="{9C2FB8A0-69AC-4C09-B3A4-DE31F95E4871}" id="{5D6872C7-679F-4C99-8278-21A6B0600921}">
    <text>estimated from our egg data set using Mesoclemmys nasuta (July 2020)</text>
  </threadedComment>
  <threadedComment ref="N195" dT="2020-08-04T13:05:49.29" personId="{9C2FB8A0-69AC-4C09-B3A4-DE31F95E4871}" id="{795629EA-3F5D-41AA-BD12-6718665B0463}">
    <text>estimated from BM-CL regression using Rhinemys rufipes from Lamar and Medem (1982)</text>
  </threadedComment>
  <threadedComment ref="T195" dT="2020-07-08T14:53:59.16" personId="{9C2FB8A0-69AC-4C09-B3A4-DE31F95E4871}" id="{8B9AB448-3B79-473E-A550-37EF31AA063A}">
    <text>estimated from our egg data set using Mesoclemmys nasuta (July 2020)</text>
  </threadedComment>
  <threadedComment ref="R196" dT="2021-01-14T15:36:54.30" personId="{06DEDB07-59D1-417E-83D0-6B7F6C6F5DD5}" id="{F7EF641E-D983-40E4-B5E4-20A6301E6897}">
    <text>35-40 round</text>
  </threadedComment>
  <threadedComment ref="S196" dT="2021-01-14T15:36:54.30" personId="{06DEDB07-59D1-417E-83D0-6B7F6C6F5DD5}" id="{66B9704A-45A2-47FF-A3FF-CBA5D0C9E063}">
    <text>35-40 round</text>
  </threadedComment>
  <threadedComment ref="T197" dT="2020-10-12T13:02:15.29" personId="{9C2FB8A0-69AC-4C09-B3A4-DE31F95E4871}" id="{9C1702ED-FCA5-4999-B0AD-C1195A161619}">
    <text>estimated from egg regression database using M. nasuta from Ewert pers. comm. (Columbus Zoo)</text>
  </threadedComment>
  <threadedComment ref="F198" dT="2021-03-15T14:43:29.59" personId="{06DEDB07-59D1-417E-83D0-6B7F6C6F5DD5}" id="{36AD80E6-5289-45F5-9E01-6728B1F3255B}">
    <text>Sao Paulo</text>
  </threadedComment>
  <threadedComment ref="D199" dT="2020-07-20T21:26:27.70" personId="{9C2FB8A0-69AC-4C09-B3A4-DE31F95E4871}" id="{2707731A-3136-4034-B22C-AB257A15AE73}">
    <text>Entered as Phrynops tuberculatus</text>
  </threadedComment>
  <threadedComment ref="N199" dT="2020-08-04T13:05:49.29" personId="{9C2FB8A0-69AC-4C09-B3A4-DE31F95E4871}" id="{CAC01D5D-0D69-473D-B183-CA37A0130D50}">
    <text>estimated from BM-CL regression using Rhinemys rufipes from Lamar and Medem (1982)</text>
  </threadedComment>
  <threadedComment ref="N200" dT="2020-08-04T13:05:49.29" personId="{9C2FB8A0-69AC-4C09-B3A4-DE31F95E4871}" id="{36A34082-D08F-4DC3-8D38-0C87FD0B0212}">
    <text>estimated from BM-CL regression using Rhinemys rufipes from Lamar and Medem (1982)</text>
  </threadedComment>
  <threadedComment ref="T200" dT="2020-07-08T14:57:46.05" personId="{9C2FB8A0-69AC-4C09-B3A4-DE31F95E4871}" id="{3D0F997A-6CD5-408B-8D4C-2680520936F7}">
    <text>estimated from egg data set using M. gibba (July 2020)</text>
  </threadedComment>
  <threadedComment ref="N201" dT="2020-08-04T13:05:49.29" personId="{9C2FB8A0-69AC-4C09-B3A4-DE31F95E4871}" id="{92D178E5-07A6-4F08-B146-A9E22879EB4A}">
    <text>estimated from BM-CL regression using Rhinemys rufipes from Lamar and Medem (1982)</text>
  </threadedComment>
  <threadedComment ref="T201" dT="2020-07-08T14:57:46.05" personId="{9C2FB8A0-69AC-4C09-B3A4-DE31F95E4871}" id="{5137295D-EE5F-4224-B0AB-4E10088C28A2}">
    <text>estimated from egg data set using M. gibba (July 2020)</text>
  </threadedComment>
  <threadedComment ref="T202" dT="2020-07-08T14:57:46.05" personId="{9C2FB8A0-69AC-4C09-B3A4-DE31F95E4871}" id="{37ABFD90-898F-4029-82C4-6077B2D1B88A}">
    <text>estimated from egg data set using M. gibba (July 2020)</text>
  </threadedComment>
  <threadedComment ref="N206" dT="2020-08-04T13:05:49.29" personId="{9C2FB8A0-69AC-4C09-B3A4-DE31F95E4871}" id="{FA1C3EEB-0E2D-430D-99DE-4F6C062B4965}">
    <text>estimated from BM-CL regression using Rhinemys rufipes from Lamar and Medem (1982)</text>
  </threadedComment>
  <threadedComment ref="T206" dT="2020-08-28T18:10:06.63" personId="{9C2FB8A0-69AC-4C09-B3A4-DE31F95E4871}" id="{0BE0FCD8-6E65-4319-8F79-70E92C10BD34}">
    <text>estimated from egg database regressions using Chelodina longicollis (Aug 2020)</text>
  </threadedComment>
  <threadedComment ref="M207" dT="2021-01-21T15:06:38.68" personId="{06DEDB07-59D1-417E-83D0-6B7F6C6F5DD5}" id="{599114AA-5CC1-4F5A-A588-31616495B1EE}">
    <text>range 25-28</text>
  </threadedComment>
  <threadedComment ref="N207" dT="2021-01-21T15:07:43.81" personId="{06DEDB07-59D1-417E-83D0-6B7F6C6F5DD5}" id="{F878B4E2-C8C4-43F5-BE20-A66C0C92856F}">
    <text>estimated from BM-CL regression database using R. rufipes from Lamar and Medem (1982) (Jan 2021)</text>
  </threadedComment>
  <threadedComment ref="T207" dT="2020-08-28T18:10:06.63" personId="{9C2FB8A0-69AC-4C09-B3A4-DE31F95E4871}" id="{D3790AA8-AFE5-4699-8C72-BA98FC59CA6F}">
    <text>estimated from egg database regressions using Chelodina longicollis (Aug 2020)</text>
  </threadedComment>
  <threadedComment ref="I211" dT="2020-12-29T15:31:52.22" personId="{06DEDB07-59D1-417E-83D0-6B7F6C6F5DD5}" id="{95AD7222-A0A3-4092-988B-1C7AED603EDA}">
    <text>Small distribution for this species, so we estimated latitude.</text>
  </threadedComment>
  <threadedComment ref="N211" dT="2021-02-15T20:06:58.02" personId="{06DEDB07-59D1-417E-83D0-6B7F6C6F5DD5}" id="{06ABB583-0E05-4F21-9976-4841562BB390}">
    <text>estimated from BM-CL equation from Georges et al. 1982 for E. macquarii kreffti</text>
  </threadedComment>
  <threadedComment ref="R211" dT="2022-02-05T11:44:11.86" personId="{4E95C416-F42E-44F8-BD76-9627AA3B78BA}" id="{43C30B72-0C45-4C49-A20F-18E1C8AF7C21}">
    <text>estimated from range 29.0-33.6</text>
  </threadedComment>
  <threadedComment ref="S211" dT="2022-02-05T11:44:36.11" personId="{4E95C416-F42E-44F8-BD76-9627AA3B78BA}" id="{4402AE70-8948-4BBF-828C-1E2FC4E57F49}">
    <text>estimated from range 21.0-21.5</text>
  </threadedComment>
  <threadedComment ref="T211" dT="2020-07-08T16:59:27.24" personId="{9C2FB8A0-69AC-4C09-B3A4-DE31F95E4871}" id="{9494E6CB-4BE4-4727-99C2-63031ABFEB44}">
    <text>estimated from egg data using Myuchelys latisternum (July 2020)</text>
  </threadedComment>
  <threadedComment ref="N214" dT="2021-02-15T20:06:58.02" personId="{06DEDB07-59D1-417E-83D0-6B7F6C6F5DD5}" id="{48D1DFED-A46D-4A56-A55F-6437BB342798}">
    <text>estimated from BM-CL equation from Georges et al. 1982 for E. macquarii kreffti</text>
  </threadedComment>
  <threadedComment ref="N219" dT="2020-08-04T13:05:49.29" personId="{9C2FB8A0-69AC-4C09-B3A4-DE31F95E4871}" id="{E240052C-39D0-407B-AF30-C95300A94406}">
    <text>estimated from BM-CL regression using Rhinemys rufipes from Lamar and Medem (1982)</text>
  </threadedComment>
  <threadedComment ref="I220" dT="2021-01-21T17:21:34.85" personId="{06DEDB07-59D1-417E-83D0-6B7F6C6F5DD5}" id="{1460591C-3FBF-474A-9D0A-3F40E6C3E394}">
    <text>estimated ca. 0.5</text>
  </threadedComment>
  <threadedComment ref="N223" dT="2020-08-04T13:05:49.29" personId="{9C2FB8A0-69AC-4C09-B3A4-DE31F95E4871}" id="{98736DA5-5566-4675-B7E1-A47D1F9D6AD0}">
    <text>estimated from BM-CL regression using Rhinemys rufipes from Lamar and Medem (1982)</text>
  </threadedComment>
  <threadedComment ref="M227" dT="2020-08-04T13:56:26.39" personId="{9C2FB8A0-69AC-4C09-B3A4-DE31F95E4871}" id="{3A9B3A85-E67E-4FDD-BB21-3C14A3DB72EB}">
    <text>estimated from BM-CL regression dataset using Rhinemys rufipes from Lamar and Medem (1982)</text>
  </threadedComment>
  <threadedComment ref="N228" dT="2020-08-04T13:05:49.29" personId="{9C2FB8A0-69AC-4C09-B3A4-DE31F95E4871}" id="{9E97F22C-0F19-48BC-944C-49D3B00AD16F}">
    <text>estimated from BM-CL regression using Rhinemys rufipes from Lamar and Medem (1982)</text>
  </threadedComment>
  <threadedComment ref="T228" dT="2020-07-08T17:04:16.29" personId="{9C2FB8A0-69AC-4C09-B3A4-DE31F95E4871}" id="{40336628-20D8-4559-9F87-FBF484281B6C}">
    <text>estimated from egg data (July 2020)</text>
  </threadedComment>
  <threadedComment ref="X229" dT="2021-01-11T16:15:45.89" personId="{06DEDB07-59D1-417E-83D0-6B7F6C6F5DD5}" id="{48283EEA-7EB2-4335-B88F-F455EE2CCFD8}">
    <text>estimated</text>
  </threadedComment>
  <threadedComment ref="N230" dT="2020-08-04T13:05:49.29" personId="{9C2FB8A0-69AC-4C09-B3A4-DE31F95E4871}" id="{64AA51AE-184B-4530-9592-BCCD827DFADD}">
    <text>estimated from BM-CL regression using Rhinemys rufipes from Lamar and Medem (1982)</text>
  </threadedComment>
  <threadedComment ref="X230" dT="2021-01-11T16:15:45.89" personId="{06DEDB07-59D1-417E-83D0-6B7F6C6F5DD5}" id="{BD871962-BED9-4090-A8D9-F2684E3B7CB2}">
    <text>estimated</text>
  </threadedComment>
  <threadedComment ref="N235" dT="2020-08-04T13:05:49.29" personId="{9C2FB8A0-69AC-4C09-B3A4-DE31F95E4871}" id="{6CB74CCE-159F-45B7-8095-7E8ACBE0C24A}">
    <text>estimated from BM-CL regression using Rhinemys rufipes from Lamar and Medem (1982)</text>
  </threadedComment>
  <threadedComment ref="R236" dT="2021-02-08T16:59:45.16" personId="{06DEDB07-59D1-417E-83D0-6B7F6C6F5DD5}" id="{BB5149D2-7747-49C4-810F-405F7912C5A9}">
    <text>range 33-38; we used median</text>
  </threadedComment>
  <threadedComment ref="S236" dT="2021-02-08T16:59:55.90" personId="{06DEDB07-59D1-417E-83D0-6B7F6C6F5DD5}" id="{8A46C4EF-8A16-4649-81B7-960FE130E92C}">
    <text>range 29-32; we used median</text>
  </threadedComment>
  <threadedComment ref="T236" dT="2020-10-12T12:29:36.90" personId="{9C2FB8A0-69AC-4C09-B3A4-DE31F95E4871}" id="{95B8163D-CADA-44D3-9EBF-308AB7859FA9}">
    <text>estiamted from our egg data set for P. geoffroanus (oct 2020)</text>
  </threadedComment>
  <threadedComment ref="N237" dT="2020-08-04T13:05:49.29" personId="{9C2FB8A0-69AC-4C09-B3A4-DE31F95E4871}" id="{59B3F2DB-7E90-4DF9-8878-235105AC11AA}">
    <text>estimated from BM-CL regression using Rhinemys rufipes from Lamar and Medem (1982)</text>
  </threadedComment>
  <threadedComment ref="T237" dT="2022-02-05T12:05:34.05" personId="{4E95C416-F42E-44F8-BD76-9627AA3B78BA}" id="{6C1D81C7-A2B1-4DAD-B1A9-03B47E245743}">
    <text>estimated using our egg database using regression from P. geoffroanus.</text>
  </threadedComment>
  <threadedComment ref="N241" dT="2020-08-04T13:05:49.29" personId="{9C2FB8A0-69AC-4C09-B3A4-DE31F95E4871}" id="{4B7B15CF-32C7-4DBF-9FB4-9D7E828D2144}">
    <text>estimated from BM-CL regression using Rhinemys rufipes from Lamar and Medem (1982)</text>
  </threadedComment>
  <threadedComment ref="T242" dT="2020-07-08T17:07:29.96" personId="{9C2FB8A0-69AC-4C09-B3A4-DE31F95E4871}" id="{1481D4E0-6C0C-4583-AE66-714F849438B1}">
    <text>estimated from egg data using P. geoffroanus</text>
  </threadedComment>
  <threadedComment ref="N244" dT="2020-08-04T13:05:49.29" personId="{9C2FB8A0-69AC-4C09-B3A4-DE31F95E4871}" id="{2941CBC2-C187-42FC-9467-77864F6534EC}">
    <text>estimated from BM-CL regression using Rhinemys rufipes from Lamar and Medem (1982)</text>
  </threadedComment>
  <threadedComment ref="T244" dT="2020-08-03T15:47:40.71" personId="{9C2FB8A0-69AC-4C09-B3A4-DE31F95E4871}" id="{B5FC92FB-8BB0-43B4-A398-83C07F01E74B}">
    <text>estimated from P. geoffroanus in egg database (Aug 2020)</text>
  </threadedComment>
  <threadedComment ref="R245" dT="2020-12-28T14:51:52.91" personId="{06DEDB07-59D1-417E-83D0-6B7F6C6F5DD5}" id="{4A78FDEF-4673-4F7A-AF18-586196C56CC8}">
    <text>reported 50-55</text>
  </threadedComment>
  <threadedComment ref="S245" dT="2020-12-28T14:51:59.44" personId="{06DEDB07-59D1-417E-83D0-6B7F6C6F5DD5}" id="{DE7DC6F6-AE06-4EB1-B819-9C57A3DFE2A9}">
    <text>reported 24-29</text>
  </threadedComment>
  <threadedComment ref="T245" dT="2020-12-28T14:52:06.84" personId="{06DEDB07-59D1-417E-83D0-6B7F6C6F5DD5}" id="{6F36DAAB-54EE-4FAA-9139-FCB19B139182}">
    <text>reported 18-20</text>
  </threadedComment>
  <threadedComment ref="F248" dT="2021-03-15T14:43:41.02" personId="{06DEDB07-59D1-417E-83D0-6B7F6C6F5DD5}" id="{8E6A2C1E-99C8-44DE-BF98-C89CDF255F46}">
    <text>Colombia</text>
  </threadedComment>
  <threadedComment ref="R249" dT="2021-01-25T17:25:08.86" personId="{06DEDB07-59D1-417E-83D0-6B7F6C6F5DD5}" id="{F83579AE-24D7-4176-ACDB-B384C3D2ED9D}">
    <text>estimated from 45-51 by taking median</text>
  </threadedComment>
  <threadedComment ref="S249" dT="2021-01-25T17:37:26.35" personId="{06DEDB07-59D1-417E-83D0-6B7F6C6F5DD5}" id="{53CA3CFC-6D51-48DE-AC02-2A979912B2D8}">
    <text>estimated from 25-26 by taking median</text>
  </threadedComment>
  <threadedComment ref="T249" dT="2020-09-23T14:08:09.21" personId="{9C2FB8A0-69AC-4C09-B3A4-DE31F95E4871}" id="{BC48F131-CF19-498C-AB45-8310698EDAFF}">
    <text>estimated from egg regression database (Sept 2020)</text>
  </threadedComment>
  <threadedComment ref="T251" dT="2020-07-08T17:18:05.25" personId="{9C2FB8A0-69AC-4C09-B3A4-DE31F95E4871}" id="{0A0589A1-E524-4DAA-A1D8-BD4A655F82B0}">
    <text>estimated from egg data set using Myuchelys latisternum (July 2020)</text>
  </threadedComment>
  <threadedComment ref="T254" dT="2020-05-25T23:48:05.36" personId="{BB9FA97D-30F9-450E-953B-CAF857939ABE}" id="{3CAC25EE-CE0E-497A-8CDB-6BE43D0756CC}">
    <text>estimated from G polyphemus (one species with similar egg shape and size and brittle</text>
  </threadedComment>
  <threadedComment ref="T256" dT="2021-01-25T17:46:35.28" personId="{06DEDB07-59D1-417E-83D0-6B7F6C6F5DD5}" id="{B985D866-AB4D-43F1-837E-99AB9539B1B8}">
    <text>estimated from 6.4-9.2 by taking median</text>
  </threadedComment>
  <threadedComment ref="N258" dT="2020-08-04T13:02:46.69" personId="{9C2FB8A0-69AC-4C09-B3A4-DE31F95E4871}" id="{2387112C-BDE7-4FE0-B361-08422895A7F2}">
    <text>estimated from BM-CL regression dataset using Emydura macquarii krefftii from Georges (1982) (Aug 2020)</text>
  </threadedComment>
  <threadedComment ref="N259" dT="2020-08-04T13:05:49.29" personId="{9C2FB8A0-69AC-4C09-B3A4-DE31F95E4871}" id="{6921E0DE-D28B-4A94-B2BC-68E62A5EB743}">
    <text>estimated from BM-CL regression from Lamar and Medem (1982)</text>
  </threadedComment>
  <threadedComment ref="S260" dT="2020-12-28T16:07:58.35" personId="{06DEDB07-59D1-417E-83D0-6B7F6C6F5DD5}" id="{10550ECD-20E6-4A16-81EE-6DF1F865DCC4}">
    <text>estimated from the EL/EW ratio for rufipes from Lamar and Medem 1982 = 1.1141</text>
  </threadedComment>
  <threadedComment ref="T260" dT="2020-12-28T16:08:20.41" personId="{06DEDB07-59D1-417E-83D0-6B7F6C6F5DD5}" id="{F0110FDD-04A9-4E2C-B4D6-239ACA207ED7}">
    <text>estimated from our egg regression database (DEC 2020)</text>
  </threadedComment>
  <threadedComment ref="I265" dT="2021-01-21T17:22:40.85" personId="{06DEDB07-59D1-417E-83D0-6B7F6C6F5DD5}" id="{E6CF2380-CE1A-420E-82A3-112D89DD75E2}">
    <text>estimated ca. -19</text>
  </threadedComment>
  <threadedComment ref="T268" dT="2020-09-04T13:39:51.30" personId="{9C2FB8A0-69AC-4C09-B3A4-DE31F95E4871}" id="{A476AA58-76B3-4472-B1D9-A7FB822659B7}">
    <text>estimated from the egg regression database (Sept 2020)</text>
  </threadedComment>
  <threadedComment ref="N272" dT="2020-06-26T18:16:58.60" personId="{9C2FB8A0-69AC-4C09-B3A4-DE31F95E4871}" id="{AC8498C6-3569-471D-ABFC-360099DD0DCB}">
    <text>Estimated from BM= 0.0052088*CL^2.717 (Meylan et al. 2011 BAMNH)</text>
  </threadedComment>
  <threadedComment ref="M276" dT="2020-08-04T14:22:38.86" personId="{9C2FB8A0-69AC-4C09-B3A4-DE31F95E4871}" id="{6D2C7007-4FB3-4477-998A-ADAC58E2DBB9}">
    <text>Estimated from BM= 0.0052088*CL^2.717 (Meylan et al. 2011 BAMNH)</text>
  </threadedComment>
  <threadedComment ref="T280" dT="2020-09-04T13:39:51.30" personId="{9C2FB8A0-69AC-4C09-B3A4-DE31F95E4871}" id="{65FFE4A6-6576-48E5-A509-13113352362B}">
    <text>estimated from the egg regression database (Sept 2020)</text>
  </threadedComment>
  <threadedComment ref="T282" dT="2020-09-04T13:39:51.30" personId="{9C2FB8A0-69AC-4C09-B3A4-DE31F95E4871}" id="{2FEAC14F-A24F-4A22-AF01-7D69D5539AAC}">
    <text>estimated from the egg regression database (Sept 2020)</text>
  </threadedComment>
  <threadedComment ref="N284" dT="2020-06-26T18:16:58.60" personId="{9C2FB8A0-69AC-4C09-B3A4-DE31F95E4871}" id="{6F54D20F-A9E1-46B0-92FD-AD22A134F430}">
    <text>Estimated from BM= 0.0052088*CL^2.717 (Meylan et al. 2011 BAMNH)</text>
  </threadedComment>
  <threadedComment ref="N287" dT="2020-06-26T18:16:58.60" personId="{9C2FB8A0-69AC-4C09-B3A4-DE31F95E4871}" id="{7CB3719F-5147-420C-9A88-18F1B83044C8}">
    <text>Estimated from BM= 0.0052088*CL^2.717 (Meylan et al. 2011 BAMNH)</text>
  </threadedComment>
  <threadedComment ref="N288" dT="2020-09-08T17:53:51.21" personId="{9C2FB8A0-69AC-4C09-B3A4-DE31F95E4871}" id="{BC928D47-75C1-4220-B28B-596CC9AD1650}">
    <text>estimated from our BM-CL regression database using Ehrhart (1977) (Sept 2020)</text>
  </threadedComment>
  <threadedComment ref="T288" dT="2020-09-04T13:39:51.30" personId="{9C2FB8A0-69AC-4C09-B3A4-DE31F95E4871}" id="{1F893FB6-F286-42BA-BF27-BB215FB9FF5B}">
    <text>estimated from the egg regression database (Sept 2020)</text>
  </threadedComment>
  <threadedComment ref="N294" dT="2020-06-26T18:17:49.80" personId="{9C2FB8A0-69AC-4C09-B3A4-DE31F95E4871}" id="{0539BF63-3D80-4CC8-9330-AD2F2C06B7D3}">
    <text>Estimated from BM= 0.0052088*CL^2.717 (Meylan et al. 2011 BAMNH)</text>
  </threadedComment>
  <threadedComment ref="N304" dT="2020-08-04T14:44:31.25" personId="{9C2FB8A0-69AC-4C09-B3A4-DE31F95E4871}" id="{5C6C56EA-2388-4223-9351-AECB5B18EB23}">
    <text>estimated from BM-CL regression data set Meylan et al. (2011 BAMNH)</text>
  </threadedComment>
  <threadedComment ref="T305" dT="2020-09-04T13:43:34.93" personId="{9C2FB8A0-69AC-4C09-B3A4-DE31F95E4871}" id="{AE3927BE-F834-489D-AD12-9579B92D0E89}">
    <text>estimated from our egg regression dataset (Sept 2020)</text>
  </threadedComment>
  <threadedComment ref="N307" dT="2020-08-04T14:44:31.25" personId="{9C2FB8A0-69AC-4C09-B3A4-DE31F95E4871}" id="{186F998E-3456-4BD2-8307-9DFF326795C5}">
    <text>estimated from BM-CL regression data set Meylan et al. (2011 BAMNH)</text>
  </threadedComment>
  <threadedComment ref="N309" dT="2020-09-23T12:35:46.08" personId="{9C2FB8A0-69AC-4C09-B3A4-DE31F95E4871}" id="{35BE5231-6BB3-461D-B51F-A8F7DB7404E1}">
    <text>estimated from BM-CL regression database using South Pacific population Hirth 1982 (Sept 2020)</text>
  </threadedComment>
  <threadedComment ref="N310" dT="2020-08-04T14:44:31.25" personId="{9C2FB8A0-69AC-4C09-B3A4-DE31F95E4871}" id="{A8821B4B-D394-46C4-945B-025EDAEBE8FC}">
    <text>estimated from BM-CL regression data set Meylan et al. (2011 BAMNH)</text>
  </threadedComment>
  <threadedComment ref="N312" dT="2020-08-04T14:47:14.37" personId="{9C2FB8A0-69AC-4C09-B3A4-DE31F95E4871}" id="{0A801DE5-35DC-4585-8B3D-EA231944B15A}">
    <text>estimated from our BM-CL regression dataset Hirth and Carr 1962</text>
  </threadedComment>
  <threadedComment ref="N315" dT="2020-08-04T14:48:33.97" personId="{9C2FB8A0-69AC-4C09-B3A4-DE31F95E4871}" id="{98669949-D8A0-41DF-8A50-411F735E6582}">
    <text>estimated from our BM-CL regression dataset using Pritchard 1969</text>
  </threadedComment>
  <threadedComment ref="N318" dT="2020-08-04T14:48:33.97" personId="{9C2FB8A0-69AC-4C09-B3A4-DE31F95E4871}" id="{4211ED53-B206-40AA-81A7-B2997D9FEFBC}">
    <text>estimated from our BM-CL regression dataset using Pritchard 1969</text>
  </threadedComment>
  <threadedComment ref="T323" dT="2020-09-04T13:44:59.41" personId="{9C2FB8A0-69AC-4C09-B3A4-DE31F95E4871}" id="{8A89CCE8-6F13-49FF-B5BB-DBD553C29D37}">
    <text>estimated from egg regression database (Sept 2020)</text>
  </threadedComment>
  <threadedComment ref="R328" dT="2021-01-25T17:22:29.30" personId="{06DEDB07-59D1-417E-83D0-6B7F6C6F5DD5}" id="{D1EC7DCA-516D-4E1B-8361-4327DE8B8571}">
    <text>estimated from 33-36 by taking median</text>
  </threadedComment>
  <threadedComment ref="S328" dT="2021-01-25T17:34:43.10" personId="{06DEDB07-59D1-417E-83D0-6B7F6C6F5DD5}" id="{659EC961-079E-4520-8C7B-2CF63E2FBB57}">
    <text>estimated from 33-36 by taking median</text>
  </threadedComment>
  <threadedComment ref="N329" dT="2020-06-26T18:20:36.25" personId="{9C2FB8A0-69AC-4C09-B3A4-DE31F95E4871}" id="{A482C3EC-D91B-400C-9E84-CA46221E2957}">
    <text>Estimate from BM = 10.2149*CL^1.962 Deraniyagala 1939; Hirth and Carr 1970; Pritchard 1969</text>
  </threadedComment>
  <threadedComment ref="T329" dT="2020-09-04T13:44:59.41" personId="{9C2FB8A0-69AC-4C09-B3A4-DE31F95E4871}" id="{876C1DDE-6FB6-44A4-AD22-560B87627A08}">
    <text>estimated from egg regression database (Sept 2020)</text>
  </threadedComment>
  <threadedComment ref="N331" dT="2020-06-26T18:20:36.25" personId="{9C2FB8A0-69AC-4C09-B3A4-DE31F95E4871}" id="{B51B7D6E-B1C5-414B-A09A-D5D42BE442AA}">
    <text>Estimate from BM = 10.2149*CL^1.962 Deraniyagala 1939; Hirth and Carr 1970; Pritchard 1969</text>
  </threadedComment>
  <threadedComment ref="N334" dT="2020-08-04T14:50:37.41" personId="{9C2FB8A0-69AC-4C09-B3A4-DE31F95E4871}" id="{2D583582-7CBA-4B41-93C4-92134585A1FF}">
    <text>estimated from BM-CL regression dataset using Deraniyagala 1939; Hirth and Carr 1970; Pritchard 1969</text>
  </threadedComment>
  <threadedComment ref="N335" dT="2020-08-04T14:50:37.41" personId="{9C2FB8A0-69AC-4C09-B3A4-DE31F95E4871}" id="{2129DC99-0CEC-4D12-B027-20E7CE86407F}">
    <text>estimated from BM-CL regression dataset using Deraniyagala 1939; Hirth and Carr 1970; Pritchard 1969</text>
  </threadedComment>
  <threadedComment ref="N336" dT="2020-09-11T14:07:12.12" personId="{9C2FB8A0-69AC-4C09-B3A4-DE31F95E4871}" id="{B08DC25D-2D39-4A76-A472-0B47F96019D6}">
    <text>estimated from our BM-CL regression database using Deraniyagala 1939; Hirth and Carr 1970; Pritchard 1969 (Sept 2020)</text>
  </threadedComment>
  <threadedComment ref="N338" dT="2020-09-11T14:07:12.12" personId="{9C2FB8A0-69AC-4C09-B3A4-DE31F95E4871}" id="{7C1F237A-CDC4-42AE-8C2C-55C0B295DB31}">
    <text>estimated from our BM-CL regression database using Deraniyagala 1939; Hirth and Carr 1970; Pritchard 1969 (Sept 2020)</text>
  </threadedComment>
  <threadedComment ref="O345" dT="2021-02-14T14:47:22.54" personId="{06DEDB07-59D1-417E-83D0-6B7F6C6F5DD5}" id="{3EDF65DD-257F-43DA-9BF3-03FD9A34423E}">
    <text>'10+</text>
  </threadedComment>
  <threadedComment ref="N347" dT="2020-08-04T14:51:18.54" personId="{9C2FB8A0-69AC-4C09-B3A4-DE31F95E4871}" id="{E1949B4E-9DFF-4DAE-99B0-1E06330C6FDA}">
    <text>estimated from BM-CL regression dataset using Chavez et al. 1967 in Hirth 1982</text>
  </threadedComment>
  <threadedComment ref="T347" dT="2020-09-23T14:05:19.53" personId="{9C2FB8A0-69AC-4C09-B3A4-DE31F95E4871}" id="{837ED2EB-D3ED-4A50-AC73-ECF83E2CAE40}">
    <text>estimated from marine sea turtle egg database using Caretta caretta (Sept 2020)</text>
  </threadedComment>
  <threadedComment ref="N355" dT="2020-09-24T14:45:36.09" personId="{9C2FB8A0-69AC-4C09-B3A4-DE31F95E4871}" id="{3EF43AD2-F34B-4B36-8DCB-543AE5F29B44}">
    <text>estimated from BM-CL regression database from Pritchard 1969</text>
  </threadedComment>
  <threadedComment ref="N358" dT="2020-09-11T14:08:02.45" personId="{9C2FB8A0-69AC-4C09-B3A4-DE31F95E4871}" id="{51DA4706-6523-4A17-BF7B-6124CDCB6794}">
    <text>estimated from our BM-CL regression database using Pritchard (1969) (Sept 2020)</text>
  </threadedComment>
  <threadedComment ref="M361" dT="2021-01-26T19:49:33.05" personId="{06DEDB07-59D1-417E-83D0-6B7F6C6F5DD5}" id="{17DB8832-C751-410F-8E95-ECED2E2BD75A}">
    <text>John Iverson:
curved CL = 86.3; SCL estimated from equation in Hays 2001</text>
  </threadedComment>
  <threadedComment ref="I368" dT="2021-01-25T17:04:37.00" personId="{06DEDB07-59D1-417E-83D0-6B7F6C6F5DD5}" id="{2480CE5F-791A-4876-920F-25B2BC62C4C0}">
    <text>estimated ca. 8</text>
  </threadedComment>
  <threadedComment ref="P370" dT="2021-01-25T17:16:51.32" personId="{06DEDB07-59D1-417E-83D0-6B7F6C6F5DD5}" id="{891AAF24-B8AE-4C5C-BE70-EA322A38E4A7}">
    <text>estimated ca. 25</text>
  </threadedComment>
  <threadedComment ref="T370" dT="2020-09-29T15:52:50.71" personId="{9C2FB8A0-69AC-4C09-B3A4-DE31F95E4871}" id="{DBFFDA15-7F48-4D87-AE6E-382E33898F8E}">
    <text>estimated from egg regressions using Macrochelys (Sept 2020)</text>
  </threadedComment>
  <threadedComment ref="M393" dT="2021-01-22T14:16:03.69" personId="{06DEDB07-59D1-417E-83D0-6B7F6C6F5DD5}" id="{E8FAEDED-EF1E-40A7-9747-30E10DF5A889}">
    <text>estimated from BM-CL regression database using Iverson unpub data from Indiana (Jan 2021)</text>
  </threadedComment>
  <threadedComment ref="R396" dT="2020-09-11T17:33:18.69" personId="{9C2FB8A0-69AC-4C09-B3A4-DE31F95E4871}" id="{AAE644B3-C2C6-4AA0-A41E-A7C068B99BED}">
    <text>estimated from regressions in the egg database (Sept 2020)</text>
  </threadedComment>
  <threadedComment ref="S396" dT="2020-09-11T17:33:26.64" personId="{9C2FB8A0-69AC-4C09-B3A4-DE31F95E4871}" id="{6D6F9769-F965-4EB6-81C4-1C6290ED1964}">
    <text>estimated from regressions in the egg database (Sept 2020)</text>
  </threadedComment>
  <threadedComment ref="I403" dT="2021-01-21T17:24:18.86" personId="{06DEDB07-59D1-417E-83D0-6B7F6C6F5DD5}" id="{3A363FA8-720F-4C21-BB47-1F4E98F87653}">
    <text>estimated ca 41</text>
  </threadedComment>
  <threadedComment ref="R403" dT="2020-09-11T17:33:18.69" personId="{9C2FB8A0-69AC-4C09-B3A4-DE31F95E4871}" id="{7DB45782-23E3-41D9-87DB-D193DA7A9ACF}">
    <text>estimated from regressions in the egg database (Sept 2020)</text>
  </threadedComment>
  <threadedComment ref="S403" dT="2020-09-11T17:33:26.64" personId="{9C2FB8A0-69AC-4C09-B3A4-DE31F95E4871}" id="{F8E4C56C-982D-44EC-B192-9A76FCD298E3}">
    <text>estimated from regressions in the egg database (Sept 2020)</text>
  </threadedComment>
  <threadedComment ref="R404" dT="2020-09-11T17:33:18.69" personId="{9C2FB8A0-69AC-4C09-B3A4-DE31F95E4871}" id="{A779B269-F16B-4428-8448-A83A0F7F5007}">
    <text>estimated from regressions in the egg database (Sept 2020)</text>
  </threadedComment>
  <threadedComment ref="S404" dT="2020-09-11T17:33:26.64" personId="{9C2FB8A0-69AC-4C09-B3A4-DE31F95E4871}" id="{0DA258DC-99DD-4336-A069-00F0C49D380D}">
    <text>estimated from regressions in the egg database (Sept 2020)</text>
  </threadedComment>
  <threadedComment ref="P406" dT="2021-01-28T20:01:24.06" personId="{06DEDB07-59D1-417E-83D0-6B7F6C6F5DD5}" id="{3C051401-B518-4EE7-923A-2FF73CCF6CBB}">
    <text>N = 1</text>
  </threadedComment>
  <threadedComment ref="P407" dT="2021-01-28T20:01:38.64" personId="{06DEDB07-59D1-417E-83D0-6B7F6C6F5DD5}" id="{C49FA9AC-55EC-4A6B-8E66-2CDF68E28D78}">
    <text>N = 1</text>
  </threadedComment>
  <threadedComment ref="R408" dT="2020-09-11T17:33:18.69" personId="{9C2FB8A0-69AC-4C09-B3A4-DE31F95E4871}" id="{53A74542-6B3E-4792-A0E0-F19EC636CDA5}">
    <text>estimated from regressions in the egg database (Sept 2020)</text>
  </threadedComment>
  <threadedComment ref="S408" dT="2020-09-11T17:33:26.64" personId="{9C2FB8A0-69AC-4C09-B3A4-DE31F95E4871}" id="{EF2A33AF-583E-45E9-AD98-61B61915F36D}">
    <text>estimated from regressions in the egg database (Sept 2020)</text>
  </threadedComment>
  <threadedComment ref="S409" dT="2020-09-11T17:35:44.29" personId="{9C2FB8A0-69AC-4C09-B3A4-DE31F95E4871}" id="{2314B7AF-3008-4A21-9D45-B2ABAE274A61}">
    <text>estimated from egg database (Sept 2020)</text>
  </threadedComment>
  <threadedComment ref="R414" dT="2020-09-11T17:33:18.69" personId="{9C2FB8A0-69AC-4C09-B3A4-DE31F95E4871}" id="{06F58E37-B7D1-410F-979E-C47F5D3F1DFC}">
    <text>estimated from regressions in the egg database (Sept 2020)</text>
  </threadedComment>
  <threadedComment ref="S414" dT="2020-09-11T17:33:26.64" personId="{9C2FB8A0-69AC-4C09-B3A4-DE31F95E4871}" id="{C2628592-04E2-4B9F-A375-C5803B620841}">
    <text>estimated from regressions in the egg database (Sept 2020)</text>
  </threadedComment>
  <threadedComment ref="M416" dT="2020-09-11T14:11:32.09" personId="{9C2FB8A0-69AC-4C09-B3A4-DE31F95E4871}" id="{20F56EA5-1334-4556-98AF-24BE222DDBC0}">
    <text>estimated from our BM-CL regression database (Sept 2020) Iverson unpub.</text>
  </threadedComment>
  <threadedComment ref="R417" dT="2020-09-11T17:33:18.69" personId="{9C2FB8A0-69AC-4C09-B3A4-DE31F95E4871}" id="{DFD1B0A1-35A2-4C93-A3DC-286E3DA64A21}">
    <text>estimated from regressions in the egg database (Sept 2020)</text>
  </threadedComment>
  <threadedComment ref="S417" dT="2020-09-11T17:33:26.64" personId="{9C2FB8A0-69AC-4C09-B3A4-DE31F95E4871}" id="{09B83279-39CF-4BAA-9406-CFA62C4E2B41}">
    <text>estimated from regressions in the egg database (Sept 2020)</text>
  </threadedComment>
  <threadedComment ref="M418" dT="2021-01-22T14:19:47.30" personId="{06DEDB07-59D1-417E-83D0-6B7F6C6F5DD5}" id="{BB0ECC6A-5BFB-4244-BF22-0BBA05B97835}">
    <text>estimated from BM-CL regression database using Iverson unpub data from Indiana (Jan 2021)</text>
  </threadedComment>
  <threadedComment ref="R418" dT="2020-09-11T17:33:18.69" personId="{9C2FB8A0-69AC-4C09-B3A4-DE31F95E4871}" id="{1DABD4E5-B3C9-4F92-BBF6-ECFF29E81431}">
    <text>estimated from regressions in the egg database (Sept 2020)</text>
  </threadedComment>
  <threadedComment ref="S418" dT="2020-09-11T17:33:26.64" personId="{9C2FB8A0-69AC-4C09-B3A4-DE31F95E4871}" id="{F269670E-FB4F-4A32-81F9-DF7C2E2E345D}">
    <text>estimated from regressions in the egg database (Sept 2020)</text>
  </threadedComment>
  <threadedComment ref="R419" dT="2020-09-11T17:33:18.69" personId="{9C2FB8A0-69AC-4C09-B3A4-DE31F95E4871}" id="{9A29D6C4-EDFA-464A-9214-A428F29EA79F}">
    <text>estimated from regressions in the egg database (Sept 2020)</text>
  </threadedComment>
  <threadedComment ref="S419" dT="2020-09-11T17:33:26.64" personId="{9C2FB8A0-69AC-4C09-B3A4-DE31F95E4871}" id="{0694AAA9-F5F2-440B-A454-D0E3060681B6}">
    <text>estimated from regressions in the egg database (Sept 2020)</text>
  </threadedComment>
  <threadedComment ref="N423" dT="2021-01-22T14:22:28.63" personId="{06DEDB07-59D1-417E-83D0-6B7F6C6F5DD5}" id="{81B8FCC3-DEFF-409B-A141-114820E6B63F}">
    <text>reported 15400 but this was spent BM; therefore we calculated BM by 15400+cluthc mass</text>
  </threadedComment>
  <threadedComment ref="N427" dT="2021-02-08T16:48:24.37" personId="{06DEDB07-59D1-417E-83D0-6B7F6C6F5DD5}" id="{60A7415C-212D-4BCF-A2C0-88B207EBC448}">
    <text>BM may be post-nesting</text>
  </threadedComment>
  <threadedComment ref="W427" dT="2021-02-08T16:48:44.90" personId="{06DEDB07-59D1-417E-83D0-6B7F6C6F5DD5}" id="{21C9A10E-A3D2-42FF-BD97-E204569C4317}">
    <text>RCM low but match data in paper</text>
  </threadedComment>
  <threadedComment ref="F428" dT="2021-03-15T14:58:36.45" personId="{06DEDB07-59D1-417E-83D0-6B7F6C6F5DD5}" id="{58A69C82-4B11-430F-8998-C26E875128B6}">
    <text>Oklahoma</text>
  </threadedComment>
  <threadedComment ref="I428" dT="2021-03-15T14:58:19.87" personId="{06DEDB07-59D1-417E-83D0-6B7F6C6F5DD5}" id="{A6D5CE81-D8C9-4BC0-881C-3417AAE833E2}">
    <text>34.35</text>
  </threadedComment>
  <threadedComment ref="N430" dT="2020-09-24T13:11:39.55" personId="{9C2FB8A0-69AC-4C09-B3A4-DE31F95E4871}" id="{61EE18BB-D95B-453B-A455-A85EEF297BE4}">
    <text>estimated from BM-CL regression database (Sept 2020)</text>
  </threadedComment>
  <threadedComment ref="N432" dT="2020-09-24T13:11:39.55" personId="{9C2FB8A0-69AC-4C09-B3A4-DE31F95E4871}" id="{5B1C1D50-BAF0-446B-859B-4A1240989946}">
    <text>estimated from BM-CL regression database (Sept 2020)</text>
  </threadedComment>
  <threadedComment ref="R433" dT="2020-04-01T19:34:29.87" personId="{BB9FA97D-30F9-450E-953B-CAF857939ABE}" id="{D4F3916A-2BF5-41E0-A4A2-693182A2B13C}">
    <text>estimated from EM = 0.532EL + 1.236EW - 24.642 Iverson unpublished data (July 2020)</text>
  </threadedComment>
  <threadedComment ref="I442" dT="2021-01-25T17:04:30.31" personId="{06DEDB07-59D1-417E-83D0-6B7F6C6F5DD5}" id="{C4FF76CA-665B-459B-8A50-E55FEBD9B0B3}">
    <text>estimated ca. 5-6</text>
  </threadedComment>
  <threadedComment ref="O444" dT="2022-01-17T10:28:21.39" personId="{4E95C416-F42E-44F8-BD76-9627AA3B78BA}" id="{B5B6A0A7-465D-44C4-9194-EFBD42D6DEF2}">
    <text>median value of 95% confidence interval of 55 to 70</text>
  </threadedComment>
  <threadedComment ref="N445" dT="2020-09-11T14:20:39.72" personId="{9C2FB8A0-69AC-4C09-B3A4-DE31F95E4871}" id="{829B6E1C-3A6E-41D3-8C21-814DC5F0277E}">
    <text>estimated from BM-CL regression in our database (Sept 2020) Boulon et al. 1996</text>
  </threadedComment>
  <threadedComment ref="N446" dT="2020-09-11T14:20:39.72" personId="{9C2FB8A0-69AC-4C09-B3A4-DE31F95E4871}" id="{E73B0081-53F1-4F68-AA7B-40E248FA678D}">
    <text>estimated from BM-CL regression in our database (Sept 2020) Boulon et al. 1996</text>
  </threadedComment>
  <threadedComment ref="T452" dT="2020-08-03T15:56:29.89" personId="{9C2FB8A0-69AC-4C09-B3A4-DE31F95E4871}" id="{DF888E5E-AC3D-49F6-8A0A-574EE190A39A}">
    <text>estimated from our egg dataset (August 2020)</text>
  </threadedComment>
  <threadedComment ref="N453" dT="2020-08-04T14:53:34.25" personId="{9C2FB8A0-69AC-4C09-B3A4-DE31F95E4871}" id="{35756256-9EAE-4F85-AD80-04E14C79606B}">
    <text>estimated from BM-CL regression dataset using  Hirth 1982</text>
  </threadedComment>
  <threadedComment ref="N454" dT="2020-08-04T14:53:34.25" personId="{9C2FB8A0-69AC-4C09-B3A4-DE31F95E4871}" id="{9DF99B90-65A6-4807-9979-8206C6B6B059}">
    <text>estimated from BM-CL regression dataset using  Hirth 1982</text>
  </threadedComment>
  <threadedComment ref="N455" dT="2020-09-11T14:20:39.72" personId="{9C2FB8A0-69AC-4C09-B3A4-DE31F95E4871}" id="{BA8F767E-1BAA-48AF-BC04-4C74D3201FFF}">
    <text>estimated from BM-CL regression in our database (Sept 2020) Boulon et al. 1996</text>
  </threadedComment>
  <threadedComment ref="T456" dT="2020-08-03T15:56:29.89" personId="{9C2FB8A0-69AC-4C09-B3A4-DE31F95E4871}" id="{83DED08A-ED0B-4D4D-9C5F-92351E85421C}">
    <text>estimated from our egg dataset (August 2020)</text>
  </threadedComment>
  <threadedComment ref="N458" dT="2020-09-11T14:20:39.72" personId="{9C2FB8A0-69AC-4C09-B3A4-DE31F95E4871}" id="{A145A48C-01DE-45E6-879C-C7F3387DEE6C}">
    <text>estimated from BM-CL regression in our database (Sept 2020) Boulon et al. 1996</text>
  </threadedComment>
  <threadedComment ref="N459" dT="2020-08-04T14:53:34.25" personId="{9C2FB8A0-69AC-4C09-B3A4-DE31F95E4871}" id="{EFC4C8F8-A4C8-4498-8EE3-732E94A52365}">
    <text>estimated from BM-CL regression dataset using Leslie et al. 1996</text>
  </threadedComment>
  <threadedComment ref="N461" dT="2020-03-09T17:15:29.11" personId="{9C2FB8A0-69AC-4C09-B3A4-DE31F95E4871}" id="{4FD3DD7C-E707-414F-9DEA-7E1B701ECEF4}">
    <text>Estimated from BM = 18.222*10^(0.0102*CL) Germano 2016</text>
  </threadedComment>
  <threadedComment ref="Q461" dT="2020-03-10T17:41:33.11" personId="{9C2FB8A0-69AC-4C09-B3A4-DE31F95E4871}" id="{E883B7FE-FC60-4156-93D9-81F20C4F915D}">
    <text>Congdon and Gibbons (1985)</text>
  </threadedComment>
  <threadedComment ref="Q462" dT="2020-03-10T17:41:33.11" personId="{9C2FB8A0-69AC-4C09-B3A4-DE31F95E4871}" id="{2B44900A-DB04-49C0-AF67-40C84EAB933C}">
    <text>Congdon and Gibbons (1985)</text>
  </threadedComment>
  <threadedComment ref="Q463" dT="2020-03-10T17:41:33.11" personId="{9C2FB8A0-69AC-4C09-B3A4-DE31F95E4871}" id="{22F34FE1-2CE0-4997-A528-2A86EC32707A}">
    <text>Congdon and Gibbons (1985)</text>
  </threadedComment>
  <threadedComment ref="Q464" dT="2020-03-10T17:41:33.11" personId="{9C2FB8A0-69AC-4C09-B3A4-DE31F95E4871}" id="{26B7467A-2AF7-47A4-BB8D-AFA8C4C50410}">
    <text>Congdon and Gibbons (1985)</text>
  </threadedComment>
  <threadedComment ref="Q466" dT="2020-03-10T17:41:33.11" personId="{9C2FB8A0-69AC-4C09-B3A4-DE31F95E4871}" id="{BDE1FFD6-30C9-49B6-9259-778C1BBD7B92}">
    <text>Congdon and Gibbons (1985)</text>
  </threadedComment>
  <threadedComment ref="Q467" dT="2020-03-10T17:41:33.11" personId="{9C2FB8A0-69AC-4C09-B3A4-DE31F95E4871}" id="{2C1F8047-925F-4057-AE82-E5943C555771}">
    <text>Congdon and Gibbons (1985)</text>
  </threadedComment>
  <threadedComment ref="Q468" dT="2020-03-10T17:41:33.11" personId="{9C2FB8A0-69AC-4C09-B3A4-DE31F95E4871}" id="{6287CAAA-AB0C-4FEC-99E0-6F3D3401BAA8}">
    <text>Congdon and Gibbons (1985)</text>
  </threadedComment>
  <threadedComment ref="O469" dT="2022-02-13T13:12:15.57" personId="{4E95C416-F42E-44F8-BD76-9627AA3B78BA}" id="{1ABF25A3-6FF7-42B3-AF8A-84A38E1A1DB8}">
    <text>10-12 repoted</text>
  </threadedComment>
  <threadedComment ref="Q470" dT="2020-03-10T17:41:33.11" personId="{9C2FB8A0-69AC-4C09-B3A4-DE31F95E4871}" id="{1BE44906-9983-4EFD-A271-11F5CF322E4D}">
    <text>Congdon and Gibbons (1985)</text>
  </threadedComment>
  <threadedComment ref="T470" dT="2020-07-08T17:36:56.29" personId="{9C2FB8A0-69AC-4C09-B3A4-DE31F95E4871}" id="{35F8C264-A804-437F-8662-256FA618FE79}">
    <text>estimated from our egg data set for Staurotypus salvini, with eggs of same szie and also brittle-shelles (July 2020)</text>
  </threadedComment>
  <threadedComment ref="N471" dT="2020-03-09T17:15:29.11" personId="{9C2FB8A0-69AC-4C09-B3A4-DE31F95E4871}" id="{230F9084-E465-4069-BEA8-4F3B1731BF00}">
    <text>Estimated from BM = 18.222*10^(0.0102*CL) Germano 2016</text>
  </threadedComment>
  <threadedComment ref="Q471" dT="2020-03-10T17:41:33.11" personId="{9C2FB8A0-69AC-4C09-B3A4-DE31F95E4871}" id="{660FC154-2ED9-49A7-92E3-0760EB359D1E}">
    <text>Congdon and Gibbons (1985)</text>
  </threadedComment>
  <threadedComment ref="M472" dT="2020-09-24T13:13:44.28" personId="{9C2FB8A0-69AC-4C09-B3A4-DE31F95E4871}" id="{66D044D2-E1C5-4ABD-9ABD-5CA54E9913B5}">
    <text>PL = 28.2; estimated from PL/CL ratio 0.94769 Lubcke and Wilson (2007)</text>
  </threadedComment>
  <threadedComment ref="M472" dT="2021-01-19T17:52:30.68" personId="{06DEDB07-59D1-417E-83D0-6B7F6C6F5DD5}" id="{B0D8962D-4CFA-40AC-B55A-701232B3645E}" parentId="{66D044D2-E1C5-4ABD-9ABD-5CA54E9913B5}">
    <text>PL is actually 106</text>
  </threadedComment>
  <threadedComment ref="Q472" dT="2020-03-10T17:41:33.11" personId="{9C2FB8A0-69AC-4C09-B3A4-DE31F95E4871}" id="{EC3D3670-8640-4500-8D33-B08A357236B1}">
    <text>Congdon and Gibbons (1985)</text>
  </threadedComment>
  <threadedComment ref="Q473" dT="2020-03-10T17:41:33.11" personId="{9C2FB8A0-69AC-4C09-B3A4-DE31F95E4871}" id="{A9D471C0-7DD2-4EF9-9409-55EDF448C3DD}">
    <text>Congdon and Gibbons (1985)</text>
  </threadedComment>
  <threadedComment ref="R473" dT="2020-09-11T17:39:46.63" personId="{9C2FB8A0-69AC-4C09-B3A4-DE31F95E4871}" id="{5A61EC81-4616-4C8C-B9F2-41F459FCC169}">
    <text>estimated from egg database using Staurotypus salvini (Sept 2020)</text>
  </threadedComment>
  <threadedComment ref="T473" dT="2020-09-11T17:38:28.86" personId="{9C2FB8A0-69AC-4C09-B3A4-DE31F95E4871}" id="{D1F1E6AB-EA0E-46FC-AFBF-014122219C24}">
    <text>estimated from egg database using Staurotypus salvini (Sept 2020)</text>
  </threadedComment>
  <threadedComment ref="O474" dT="2022-02-13T13:03:11.15" personId="{4E95C416-F42E-44F8-BD76-9627AA3B78BA}" id="{A917F18C-EF83-4D37-8BC6-5E2838ECACB2}">
    <text>reported 6-7 in wild</text>
  </threadedComment>
  <threadedComment ref="T475" dT="2020-08-03T15:58:44.71" personId="{9C2FB8A0-69AC-4C09-B3A4-DE31F95E4871}" id="{5640ECB5-6196-462D-A097-B37586BBFE26}">
    <text>estimated from our egg dataset using Staurotypus salvinii (August 2020)</text>
  </threadedComment>
  <threadedComment ref="Q476" dT="2020-03-10T17:41:33.11" personId="{9C2FB8A0-69AC-4C09-B3A4-DE31F95E4871}" id="{D3AB7D7D-214B-4248-A055-3C568E42CF7B}">
    <text>Congdon and Gibbons (1985)</text>
  </threadedComment>
  <threadedComment ref="I483" dT="2021-01-21T17:25:29.58" personId="{06DEDB07-59D1-417E-83D0-6B7F6C6F5DD5}" id="{163C6B0E-9236-45B9-B4E8-7D01EB80C1B5}">
    <text>estimated ca. 33.5</text>
  </threadedComment>
  <threadedComment ref="I484" dT="2021-01-21T17:25:15.98" personId="{06DEDB07-59D1-417E-83D0-6B7F6C6F5DD5}" id="{2F741F26-2202-4F6D-91EE-8FE33525C42E}">
    <text>estimated ca. 47</text>
  </threadedComment>
  <threadedComment ref="D486" dT="2020-04-15T18:45:02.07" personId="{BB9FA97D-30F9-450E-953B-CAF857939ABE}" id="{1872A4C6-0CBE-43CA-965F-8D0C8722FDA0}">
    <text>listed as C. picta dorsalis in the publication.</text>
  </threadedComment>
  <threadedComment ref="M487" dT="2022-02-13T13:14:58.32" personId="{4E95C416-F42E-44F8-BD76-9627AA3B78BA}" id="{31C7E7F4-BB6B-42C8-B487-7C9EE4C732CB}">
    <text>estimated from PL = 18.3 using Iverson and Smith conversion (96.1%)</text>
  </threadedComment>
  <threadedComment ref="N499" dT="2020-03-10T13:52:01.64" personId="{9C2FB8A0-69AC-4C09-B3A4-DE31F95E4871}" id="{D26CBAFD-7960-46C5-8D78-41DF39F5ADC3}">
    <text>Estimated from BM = 0.2823*CL^2.681 Iverson 1984</text>
  </threadedComment>
  <threadedComment ref="T501" dT="2020-07-08T17:45:39.69" personId="{9C2FB8A0-69AC-4C09-B3A4-DE31F95E4871}" id="{488CA002-7351-4574-9AFF-BA08E49836C1}">
    <text>estimated from egg data set (July 2020)</text>
  </threadedComment>
  <threadedComment ref="N502" dT="2020-03-10T13:52:01.64" personId="{9C2FB8A0-69AC-4C09-B3A4-DE31F95E4871}" id="{60156084-C4D8-4826-B65E-F2DEE3E29590}">
    <text>Estimated from BM = 0.2823*CL^2.681 Iverson 1984</text>
  </threadedComment>
  <threadedComment ref="N503" dT="2020-03-10T13:52:01.64" personId="{9C2FB8A0-69AC-4C09-B3A4-DE31F95E4871}" id="{287C632A-9F68-4C37-B3E3-B7E3C3A9113A}">
    <text>Estimated from BM = 0.2823*CL^2.681 Iverson 1984</text>
  </threadedComment>
  <threadedComment ref="T504" dT="2020-10-12T13:04:45.52" personId="{9C2FB8A0-69AC-4C09-B3A4-DE31F95E4871}" id="{57762DD1-B622-4D4F-BD12-4BA9F2770C21}">
    <text>estimated from egg regression database (Oct 2020)</text>
  </threadedComment>
  <threadedComment ref="N505" dT="2020-03-09T17:17:00.37" personId="{9C2FB8A0-69AC-4C09-B3A4-DE31F95E4871}" id="{8373AEC1-6485-42C8-BC62-A88C98CCEFF8}">
    <text>Estimated from BM = 0.3169*CL^2.646 Mosimann (1958)</text>
  </threadedComment>
  <threadedComment ref="M506" dT="2021-03-15T12:33:46.09" personId="{06DEDB07-59D1-417E-83D0-6B7F6C6F5DD5}" id="{5BCCBAEB-C0CA-412B-B7A8-ACFEFEC22AAE}">
    <text>PL = 18.1; CL estimated from PL/CL ratio in Iverson and Smith 1993: 0.9609.</text>
  </threadedComment>
  <threadedComment ref="N506" dT="2021-03-15T12:36:36.67" personId="{06DEDB07-59D1-417E-83D0-6B7F6C6F5DD5}" id="{FD897ADB-82AB-43EA-810B-277479456B16}">
    <text>BM estimated from BM-CL regression in Iverson and Smith 1993).  So BM = 946.49</text>
  </threadedComment>
  <threadedComment ref="T506" dT="2020-07-08T17:45:51.88" personId="{9C2FB8A0-69AC-4C09-B3A4-DE31F95E4871}" id="{3BBBA231-3915-435D-813F-AE33DD8F0EE2}">
    <text>estimated from egg data set (July 2020)</text>
  </threadedComment>
  <threadedComment ref="I507" dT="2021-01-25T17:04:20.26" personId="{06DEDB07-59D1-417E-83D0-6B7F6C6F5DD5}" id="{F1C0D4C2-C9D5-488E-8C9E-8789EEB84C98}">
    <text>estimated ca. 45-46</text>
  </threadedComment>
  <threadedComment ref="T508" dT="2020-09-29T15:56:15.11" personId="{9C2FB8A0-69AC-4C09-B3A4-DE31F95E4871}" id="{082E557F-73AB-4961-99F9-2FB9A97AD5B8}">
    <text>estiamted from egg regression database (Sept 2020)</text>
  </threadedComment>
  <threadedComment ref="N509" dT="2020-03-09T17:17:00.37" personId="{9C2FB8A0-69AC-4C09-B3A4-DE31F95E4871}" id="{D2BE3B3D-9967-4633-A6DF-FC6F1A4CE78A}">
    <text>Estimated from BM = 0.3169*CL^2.646 Mosimann (1958)</text>
  </threadedComment>
  <threadedComment ref="N510" dT="2020-03-09T17:17:00.37" personId="{9C2FB8A0-69AC-4C09-B3A4-DE31F95E4871}" id="{20AD8A0A-4F1F-4425-ADC8-4111948D1BDE}">
    <text>Estimated from BM = 0.3169*CL^2.646 Mosimann (1958)</text>
  </threadedComment>
  <threadedComment ref="I512" dT="2021-01-21T17:26:11.89" personId="{06DEDB07-59D1-417E-83D0-6B7F6C6F5DD5}" id="{9E5821DC-9EF4-4A6A-8292-6950D7E123EF}">
    <text>estimated ca. 35.75</text>
  </threadedComment>
  <threadedComment ref="I515" dT="2021-01-21T17:25:50.89" personId="{06DEDB07-59D1-417E-83D0-6B7F6C6F5DD5}" id="{E96FE081-6641-4427-A322-A052393033A8}">
    <text>estimated ca. 47</text>
  </threadedComment>
  <threadedComment ref="N516" dT="2020-03-10T13:52:01.64" personId="{9C2FB8A0-69AC-4C09-B3A4-DE31F95E4871}" id="{262DBBC4-8B13-44BA-8ACA-97B3A2DEEFDE}">
    <text>Estimated from BM = 0.2823*CL^2.681 Iverson 1984</text>
  </threadedComment>
  <threadedComment ref="T516" dT="2020-09-29T15:57:09.05" personId="{9C2FB8A0-69AC-4C09-B3A4-DE31F95E4871}" id="{7EEF5FB8-5D6E-42C6-B453-95E703F1EA14}">
    <text>from egg mass data base</text>
  </threadedComment>
  <threadedComment ref="I518" dT="2021-01-21T17:26:30.77" personId="{06DEDB07-59D1-417E-83D0-6B7F6C6F5DD5}" id="{8704902C-6020-44EF-9DE5-54A283A6D7EC}">
    <text>estimated 45</text>
  </threadedComment>
  <threadedComment ref="M544" dT="2020-09-29T13:03:55.82" personId="{9C2FB8A0-69AC-4C09-B3A4-DE31F95E4871}" id="{5FF59132-E62D-4502-915A-3687CDDAFCED}">
    <text>PL = 15.11; CL estimated from equation in Zweifel 1989 (0.9448)</text>
  </threadedComment>
  <threadedComment ref="N544" dT="2020-03-09T17:17:00.37" personId="{9C2FB8A0-69AC-4C09-B3A4-DE31F95E4871}" id="{E62DE341-10A4-4D56-A35D-E38D88771C34}">
    <text>Estimated from BM = 0.3169*CL^2.646 Mosimann (1958)</text>
  </threadedComment>
  <threadedComment ref="N546" dT="2020-06-26T18:41:19.83" personId="{9C2FB8A0-69AC-4C09-B3A4-DE31F95E4871}" id="{CCDB022E-8AF6-4CA2-A134-BE4714F060D0}">
    <text>Estimated from BM = 0.04462*CL^3.6943 in Roddewig 2012</text>
  </threadedComment>
  <threadedComment ref="N547" dT="2020-06-26T18:41:19.83" personId="{9C2FB8A0-69AC-4C09-B3A4-DE31F95E4871}" id="{BBB14B5C-69F3-46CD-83EA-E6F87848D7E6}">
    <text>Estimated from BM = 0.04462*CL^3.6943 in Roddewig 2012</text>
  </threadedComment>
  <threadedComment ref="N548" dT="2020-06-26T18:41:19.83" personId="{9C2FB8A0-69AC-4C09-B3A4-DE31F95E4871}" id="{E9F5A7BD-F7AE-4503-8DC1-3611BF7ACAF1}">
    <text>Estimated from BM = 0.04462*CL^3.6943 in Roddewig 2012</text>
  </threadedComment>
  <threadedComment ref="P549" dT="2021-01-28T19:45:56.81" personId="{06DEDB07-59D1-417E-83D0-6B7F6C6F5DD5}" id="{F38A5C1A-9682-43E2-BECB-2DBAB6F1876D}">
    <text>N = 1</text>
  </threadedComment>
  <threadedComment ref="M550" dT="2021-01-25T18:25:17.50" personId="{06DEDB07-59D1-417E-83D0-6B7F6C6F5DD5}" id="{7804A5A8-BAA0-4001-8F1D-ECEBF3C54BDB}">
    <text>PL=89.225; CL estimated from ratio from Litzgus 1998</text>
  </threadedComment>
  <threadedComment ref="N550" dT="2020-06-26T18:41:19.83" personId="{9C2FB8A0-69AC-4C09-B3A4-DE31F95E4871}" id="{0DFA42F7-E1DF-4514-99C0-2C9F67D92113}">
    <text>Estimated from BM = 0.04462*CL^3.6943 in Roddewig 2012</text>
  </threadedComment>
  <threadedComment ref="M551" dT="2021-01-25T18:27:07.33" personId="{06DEDB07-59D1-417E-83D0-6B7F6C6F5DD5}" id="{3F3F9C51-4283-4669-B807-302767A4FD5E}">
    <text>PL=9.24, estimated from PL/CL (0.8711) using Litzgus 1998</text>
  </threadedComment>
  <threadedComment ref="N551" dT="2020-06-26T18:41:19.83" personId="{9C2FB8A0-69AC-4C09-B3A4-DE31F95E4871}" id="{5EC1B64D-5FE5-441C-86B1-3CE385D79206}">
    <text>Estimated from BM = 0.04462*CL^3.6943 in Roddewig 2012</text>
  </threadedComment>
  <threadedComment ref="N553" dT="2020-06-26T18:41:19.83" personId="{9C2FB8A0-69AC-4C09-B3A4-DE31F95E4871}" id="{0A24522A-D7CB-4883-B29C-B71DA2318A54}">
    <text>Estimated from BM = 0.04462*CL^3.6943 in Roddewig 2012</text>
  </threadedComment>
  <threadedComment ref="N554" dT="2020-06-26T18:41:19.83" personId="{9C2FB8A0-69AC-4C09-B3A4-DE31F95E4871}" id="{AA115BEF-9E2F-4038-BA8E-B2AE1D8AF998}">
    <text>Estimated from BM = 0.04462*CL^3.6943 in Roddewig 2012</text>
  </threadedComment>
  <threadedComment ref="M555" dT="2021-01-25T18:23:16.53" personId="{06DEDB07-59D1-417E-83D0-6B7F6C6F5DD5}" id="{EF24BCE5-C0C0-4ADD-946B-F7543787A1B7}">
    <text>converted PL (10.34 cm) to CL using ratio (0.8711)</text>
  </threadedComment>
  <threadedComment ref="N555" dT="2020-06-26T18:41:19.83" personId="{9C2FB8A0-69AC-4C09-B3A4-DE31F95E4871}" id="{CB49E4DF-25B4-46E9-B413-E11801EBB775}">
    <text>Estimated from BM = 0.04462*CL^3.6943 in Roddewig 2012</text>
  </threadedComment>
  <threadedComment ref="M556" dT="2021-01-25T18:23:16.53" personId="{06DEDB07-59D1-417E-83D0-6B7F6C6F5DD5}" id="{C15990E2-33EB-4621-9673-CF260EE73B52}">
    <text>converted PL (9.05 cm) to CL using ratio (0.8711)</text>
  </threadedComment>
  <threadedComment ref="N556" dT="2020-06-26T18:41:19.83" personId="{9C2FB8A0-69AC-4C09-B3A4-DE31F95E4871}" id="{14404586-E6BB-4C3F-A388-FEA390461E0D}">
    <text>Estimated from BM = 0.04462*CL^3.6943 in Roddewig 2012</text>
  </threadedComment>
  <threadedComment ref="N559" dT="2020-06-26T18:41:19.83" personId="{9C2FB8A0-69AC-4C09-B3A4-DE31F95E4871}" id="{CF9F84D4-60D5-434A-8DF3-9F0A6631096A}">
    <text>Estimated from BM = 0.04462*CL^3.6943 in Roddewig 2012</text>
  </threadedComment>
  <threadedComment ref="T559" dT="2020-10-12T13:05:48.74" personId="{9C2FB8A0-69AC-4C09-B3A4-DE31F95E4871}" id="{A8BAAAD4-0FE6-47EC-BF47-F9454B097604}">
    <text>estimated from egg regression database (Oct 2020)</text>
  </threadedComment>
  <threadedComment ref="N562" dT="2020-06-26T18:41:19.83" personId="{9C2FB8A0-69AC-4C09-B3A4-DE31F95E4871}" id="{712D65C5-8FC3-425E-8865-EFC36C3746EF}">
    <text>Estimated from BM = 0.04462*CL^3.6943 in Roddewig 2012</text>
  </threadedComment>
  <threadedComment ref="M565" dT="2020-07-30T15:51:59.78" personId="{9C2FB8A0-69AC-4C09-B3A4-DE31F95E4871}" id="{5F7E9510-0E9C-42D3-B6F8-D60EA24FD13E}">
    <text>PL=16.0, estimated from Fig. 1 in original paper, based on reported mean egg mass, CL estiamted from unpublished PL/CL data from Iverson (0.905)</text>
  </threadedComment>
  <threadedComment ref="N565" dT="2020-09-16T13:35:25.44" personId="{9C2FB8A0-69AC-4C09-B3A4-DE31F95E4871}" id="{BCFD9F97-4E55-4E6E-975B-BA2712835DEF}">
    <text>estimated from BM-CL regression database using S. Dinkelacker, pers. comm. (Sept 2020)</text>
  </threadedComment>
  <threadedComment ref="M566" dT="2020-07-30T15:51:59.78" personId="{9C2FB8A0-69AC-4C09-B3A4-DE31F95E4871}" id="{7C028924-A523-42F6-8CAA-4FEF8CB06D7B}">
    <text>PL=16.098, estimated from Fig. 1 in original paper, based on reported mean egg mass, CL estiamted from unpublished PL/CL data from Iverson (0.905)</text>
  </threadedComment>
  <threadedComment ref="N566" dT="2020-09-16T13:35:25.44" personId="{9C2FB8A0-69AC-4C09-B3A4-DE31F95E4871}" id="{D9399FDB-AA03-4DE3-BF4F-258AAE0D0485}">
    <text>estimated from BM-CL regression database using S. Dinkelacker, pers. comm. (Sept 2020)</text>
  </threadedComment>
  <threadedComment ref="N567" dT="2020-09-16T13:35:25.44" personId="{9C2FB8A0-69AC-4C09-B3A4-DE31F95E4871}" id="{ED27D929-38DC-45F7-8656-72BCD4018F9E}">
    <text>estimated from BM-CL regression database using S. Dinkelacker, pers. comm. (Sept 2020)</text>
  </threadedComment>
  <threadedComment ref="N568" dT="2021-02-08T21:21:06.97" personId="{06DEDB07-59D1-417E-83D0-6B7F6C6F5DD5}" id="{9CEEEC8D-BC26-465D-925D-C857C1E96837}">
    <text>calculated from Table 1 in original paper, where mean BM is erroneously reported to be only 703g</text>
  </threadedComment>
  <threadedComment ref="M569" dT="2021-01-22T16:08:44.40" personId="{06DEDB07-59D1-417E-83D0-6B7F6C6F5DD5}" id="{0308B6D8-837D-4183-9ECD-D52AEE014133}">
    <text>PL = 16.65, convert to CL using PL/CL = 0.9050 Iverson unpublished data</text>
  </threadedComment>
  <threadedComment ref="N569" dT="2020-09-16T13:35:25.44" personId="{9C2FB8A0-69AC-4C09-B3A4-DE31F95E4871}" id="{B3E5E300-2ED0-4183-8C85-9F584767F586}">
    <text>estimated from BM-CL regression database using S. Dinkelacker, pers. comm. (Sept 2020)</text>
  </threadedComment>
  <threadedComment ref="O569" dT="2020-07-30T15:49:10.49" personId="{9C2FB8A0-69AC-4C09-B3A4-DE31F95E4871}" id="{7E4E3BD4-03B1-4E2A-B1A2-19B3C60B67A3}">
    <text>estimated from Fig. 2 in original paper</text>
  </threadedComment>
  <threadedComment ref="M570" dT="2020-09-16T13:37:52.26" personId="{9C2FB8A0-69AC-4C09-B3A4-DE31F95E4871}" id="{59761DE6-CB3E-4E24-B065-B6A4E8B0727B}">
    <text>PL=15.60, estimated from Fig. 1 in original paper, based on reported mean egg mass, CL estiamted from unpublished PL/CL data from Iverson (0.905)</text>
  </threadedComment>
  <threadedComment ref="N570" dT="2020-09-16T13:35:25.44" personId="{9C2FB8A0-69AC-4C09-B3A4-DE31F95E4871}" id="{1304AED4-226E-4B1E-95B1-AAEA7D34231F}">
    <text>estimated from BM-CL regression database using S. Dinkelacker, pers. comm. (Sept 2020)</text>
  </threadedComment>
  <threadedComment ref="M571" dT="2020-07-29T13:42:52.89" personId="{9C2FB8A0-69AC-4C09-B3A4-DE31F95E4871}" id="{A937F7BF-F866-4774-BD9B-02D27A8A3028}">
    <text>PL = 15.9, convert to CL using PL/CL = 0.9050 Iverson unpublished data</text>
  </threadedComment>
  <threadedComment ref="N571" dT="2020-09-16T13:35:25.44" personId="{9C2FB8A0-69AC-4C09-B3A4-DE31F95E4871}" id="{14127FA3-F853-413D-86F0-F0170E5708C5}">
    <text>estimated from BM-CL regression database using S. Dinkelacker, pers. comm. (Sept 2020)</text>
  </threadedComment>
  <threadedComment ref="M574" dT="2020-07-29T13:42:52.89" personId="{9C2FB8A0-69AC-4C09-B3A4-DE31F95E4871}" id="{0E176C78-36F9-4620-830B-1CBAAF770D62}">
    <text>PL = 17.48, convert to CL using PL/CL = 0.9050 Iverson unpublished data</text>
  </threadedComment>
  <threadedComment ref="N574" dT="2020-09-16T13:35:25.44" personId="{9C2FB8A0-69AC-4C09-B3A4-DE31F95E4871}" id="{7D6D52E6-5586-485F-B6CA-6E89E0503EA0}">
    <text>estimated from BM-CL regression database using S. Dinkelacker, pers. comm. (Sept 2020)</text>
  </threadedComment>
  <threadedComment ref="N576" dT="2020-03-09T17:19:17.00" personId="{9C2FB8A0-69AC-4C09-B3A4-DE31F95E4871}" id="{5E18DD4D-2039-475A-8470-115DBB871CBA}">
    <text>Estimated from BM = 0.2743*CL^2.758 Wade and Gifford (1965) in Iverson 1984</text>
  </threadedComment>
  <threadedComment ref="N584" dT="2020-03-09T17:19:17.00" personId="{9C2FB8A0-69AC-4C09-B3A4-DE31F95E4871}" id="{BB5CB502-8484-48D0-A281-14F673E44783}">
    <text>Estimated from BM = 0.2743*CL^2.758 Wade and Gifford (1965) in Iverson 1984</text>
  </threadedComment>
  <threadedComment ref="P584" dT="2021-01-28T19:47:34.37" personId="{06DEDB07-59D1-417E-83D0-6B7F6C6F5DD5}" id="{2ABCA358-2C5C-4F19-BB2F-E72CE518849B}">
    <text>N = 1</text>
  </threadedComment>
  <threadedComment ref="N585" dT="2020-03-10T13:53:05.74" personId="{9C2FB8A0-69AC-4C09-B3A4-DE31F95E4871}" id="{0C6665BE-8603-4567-9989-F4C20044DD80}">
    <text>Estimated from BM = 0.2743*CL^2.758 Wade and Gifford 1965 (Iverson 1984)</text>
  </threadedComment>
  <threadedComment ref="W585" dT="2021-02-08T15:52:48.76" personId="{06DEDB07-59D1-417E-83D0-6B7F6C6F5DD5}" id="{986B4077-5F8B-4C68-9DE1-B958514544AD}">
    <text>N = 1</text>
  </threadedComment>
  <threadedComment ref="N599" dT="2020-03-09T17:19:17.00" personId="{9C2FB8A0-69AC-4C09-B3A4-DE31F95E4871}" id="{A10AD484-E22F-4C20-BA54-5C63D1E2A173}">
    <text>Estimated from BM = 0.2743*CL^2.758 Wade and Gifford (1965) in Iverson 1984</text>
  </threadedComment>
  <threadedComment ref="N604" dT="2020-03-10T13:53:05.74" personId="{9C2FB8A0-69AC-4C09-B3A4-DE31F95E4871}" id="{0DC96BD8-B77F-4989-9CBC-4E3BC9D125F6}">
    <text>Estimated from BM = 0.2743*CL^2.758 Wade and Gifford 1965 (Iverson 1984)</text>
  </threadedComment>
  <threadedComment ref="W604" dT="2021-02-08T21:38:05.78" personId="{06DEDB07-59D1-417E-83D0-6B7F6C6F5DD5}" id="{183B3EA6-1A1A-4C7A-A95D-DD4F806DCF3A}">
    <text>estimated RCM of 23.73 is too high for this species; therefore, we removed the estimate</text>
  </threadedComment>
  <threadedComment ref="N607" dT="2020-03-09T17:21:53.46" personId="{9C2FB8A0-69AC-4C09-B3A4-DE31F95E4871}" id="{DEB20BDB-C704-424B-9C98-6A9C888C10A0}">
    <text>Estiamted from BM = 0.00299*CL^2.439 (Meek 1982)</text>
  </threadedComment>
  <threadedComment ref="T607" dT="2020-09-16T18:49:05.15" personId="{9C2FB8A0-69AC-4C09-B3A4-DE31F95E4871}" id="{D4EE4235-D631-4CA1-9C33-961153A395F4}">
    <text>estimated from egg regression database using C. picta (Sept 2020)</text>
  </threadedComment>
  <threadedComment ref="T608" dT="2020-09-16T18:49:05.15" personId="{9C2FB8A0-69AC-4C09-B3A4-DE31F95E4871}" id="{7134D6B9-9644-4E9C-9816-54FBA2DA091A}">
    <text>estimated from egg regression database using C. picta (Sept 2020)</text>
  </threadedComment>
  <threadedComment ref="I611" dT="2021-01-21T17:27:12.19" personId="{06DEDB07-59D1-417E-83D0-6B7F6C6F5DD5}" id="{8B28A22C-D0DC-4405-9C49-0493D96200BF}">
    <text>estimated ca. 54</text>
  </threadedComment>
  <threadedComment ref="T616" dT="2020-09-16T18:49:05.15" personId="{9C2FB8A0-69AC-4C09-B3A4-DE31F95E4871}" id="{9622386F-542E-4751-AAF2-85A84C03DDD3}">
    <text>estimated from egg regression database using C. picta (Sept 2020)</text>
  </threadedComment>
  <threadedComment ref="T624" dT="2020-09-16T18:49:05.15" personId="{9C2FB8A0-69AC-4C09-B3A4-DE31F95E4871}" id="{6607FA1F-EBE4-4F8F-A8A9-F15E3706F66F}">
    <text>estimated from egg regression database using C. picta (Sept 2020)</text>
  </threadedComment>
  <threadedComment ref="N629" dT="2020-03-09T17:21:53.46" personId="{9C2FB8A0-69AC-4C09-B3A4-DE31F95E4871}" id="{4B4C5F2E-4356-4643-B562-8980DC9B2F14}">
    <text>Estiamted from BM = 0.00299*CL^2.439 (Meek 1982)</text>
  </threadedComment>
  <threadedComment ref="P629" dT="2021-01-20T21:55:27.55" personId="{06DEDB07-59D1-417E-83D0-6B7F6C6F5DD5}" id="{97122D1A-277D-4390-B57C-81506755F56F}">
    <text>range 6-22</text>
  </threadedComment>
  <threadedComment ref="N639" dT="2020-03-09T17:21:53.46" personId="{9C2FB8A0-69AC-4C09-B3A4-DE31F95E4871}" id="{8DB6AC3A-600E-4CDF-AE97-A95DAD925E99}">
    <text>Estiamted from BM = 0.00299*CL^2.439 (Meek 1982)</text>
  </threadedComment>
  <threadedComment ref="S639" dT="2020-09-16T19:12:10.12" personId="{9C2FB8A0-69AC-4C09-B3A4-DE31F95E4871}" id="{C02A3A6F-3EC0-479C-9A37-7978F6383E1A}">
    <text>12.7 ultrasound estimates</text>
  </threadedComment>
  <threadedComment ref="N640" dT="2020-03-09T17:21:53.46" personId="{9C2FB8A0-69AC-4C09-B3A4-DE31F95E4871}" id="{7B186774-1CA1-4B85-AE1F-D0292A7309C2}">
    <text>Estiamted from BM = 0.00299*CL^2.439 (Meek 1982)</text>
  </threadedComment>
  <threadedComment ref="S640" dT="2020-09-16T19:12:24.26" personId="{9C2FB8A0-69AC-4C09-B3A4-DE31F95E4871}" id="{BDCC3F4F-FFA5-465B-A72D-27D3D2E85CC4}">
    <text>11.7 ultrasound estimates</text>
  </threadedComment>
  <threadedComment ref="N647" dT="2020-08-04T15:14:54.74" personId="{9C2FB8A0-69AC-4C09-B3A4-DE31F95E4871}" id="{331045D8-2C41-4E5E-B6DC-61170DCAFA09}">
    <text>estimated from BM-CL regression dataset using Iverson and Smith 1993</text>
  </threadedComment>
  <threadedComment ref="N649" dT="2020-08-04T15:14:54.74" personId="{9C2FB8A0-69AC-4C09-B3A4-DE31F95E4871}" id="{810480EE-3556-4672-A31F-D52FEF5D5F0B}">
    <text>estimated from BM-CL regression dataset using Iverson and Smith 1993</text>
  </threadedComment>
  <threadedComment ref="T649" dT="2020-09-11T18:10:17.50" personId="{9C2FB8A0-69AC-4C09-B3A4-DE31F95E4871}" id="{9E523A4A-8254-455F-A561-4062F611F413}">
    <text>estimated from the egg database</text>
  </threadedComment>
  <threadedComment ref="N650" dT="2021-03-08T13:26:39.10" personId="{06DEDB07-59D1-417E-83D0-6B7F6C6F5DD5}" id="{C98FC3AD-B4CC-42AB-9CDB-8A71BD5A5B63}">
    <text>Estimated from our BM-CL regression database</text>
  </threadedComment>
  <threadedComment ref="T650" dT="2021-03-08T13:27:24.99" personId="{06DEDB07-59D1-417E-83D0-6B7F6C6F5DD5}" id="{7D7F3AD2-4517-40D4-B864-01E4F9C813C3}">
    <text>estimated from our egg database</text>
  </threadedComment>
  <threadedComment ref="N654" dT="2020-08-04T15:14:54.74" personId="{9C2FB8A0-69AC-4C09-B3A4-DE31F95E4871}" id="{58C83A68-E345-479E-AD59-58E69AEA7C65}">
    <text>estimated from BM-CL regression dataset using Iverson and Smith 1993</text>
  </threadedComment>
  <threadedComment ref="N655" dT="2020-08-04T15:14:54.74" personId="{9C2FB8A0-69AC-4C09-B3A4-DE31F95E4871}" id="{BA6DCD80-FE4D-44B8-8D4E-2F8537B15DA2}">
    <text>estimated from BM-CL regression dataset using Iverson and Smith 1993</text>
  </threadedComment>
  <threadedComment ref="N656" dT="2020-08-04T15:14:54.74" personId="{9C2FB8A0-69AC-4C09-B3A4-DE31F95E4871}" id="{2183FA90-DC84-4C35-A2AB-7B01A18A27AC}">
    <text>estimated from BM-CL regression dataset using Iverson and Smith 1993</text>
  </threadedComment>
  <threadedComment ref="I657" dT="2021-01-21T17:27:57.71" personId="{06DEDB07-59D1-417E-83D0-6B7F6C6F5DD5}" id="{74AEBB7C-E26B-4735-ACEA-EEA62FCE7868}">
    <text>estimated ca. 45</text>
  </threadedComment>
  <threadedComment ref="M658" dT="2020-03-10T17:04:40.80" personId="{9C2FB8A0-69AC-4C09-B3A4-DE31F95E4871}" id="{88E069DA-830D-4A97-A719-95922A566DE2}">
    <text>Average of the max CL</text>
  </threadedComment>
  <threadedComment ref="N658" dT="2020-08-04T15:14:54.74" personId="{9C2FB8A0-69AC-4C09-B3A4-DE31F95E4871}" id="{B898B6FE-48FF-4664-85B0-B79673C598D7}">
    <text>estimated from BM-CL regression dataset using Iverson and Smith 1993</text>
  </threadedComment>
  <threadedComment ref="N659" dT="2020-08-04T15:14:54.74" personId="{9C2FB8A0-69AC-4C09-B3A4-DE31F95E4871}" id="{0FA0765F-CAA1-40B5-AA8B-01A58DD9D485}">
    <text>estimated from BM-CL regression dataset using Iverson and Smith 1993</text>
  </threadedComment>
  <threadedComment ref="N661" dT="2020-08-04T15:14:54.74" personId="{9C2FB8A0-69AC-4C09-B3A4-DE31F95E4871}" id="{2817BA43-E0A6-4543-A41E-6047D812F05A}">
    <text>estimated from BM-CL regression dataset using Iverson and Smith 1993</text>
  </threadedComment>
  <threadedComment ref="W662" dT="2021-02-08T15:51:43.20" personId="{06DEDB07-59D1-417E-83D0-6B7F6C6F5DD5}" id="{ABCBA5BE-20BF-4819-AC05-4283BE31D94C}">
    <text>N = 1</text>
  </threadedComment>
  <threadedComment ref="O663" dT="2021-01-28T02:03:53.19" personId="{06DEDB07-59D1-417E-83D0-6B7F6C6F5DD5}" id="{BC9EA41E-706B-40B5-8978-91D722F8B314}">
    <text>estimated from ~6</text>
  </threadedComment>
  <threadedComment ref="O670" dT="2022-02-13T13:24:35.40" personId="{4E95C416-F42E-44F8-BD76-9627AA3B78BA}" id="{047F376D-2B0B-4247-96A2-AB25CFD501E8}">
    <text>4-5 reported</text>
  </threadedComment>
  <threadedComment ref="N671" dT="2020-08-04T15:24:38.44" personId="{9C2FB8A0-69AC-4C09-B3A4-DE31F95E4871}" id="{9C935BC0-3A41-46B5-87F8-CE2C1229A352}">
    <text>estimated from BM-CL regression dataset using G. muhlenbergii from Zappalorti (unpublished)</text>
  </threadedComment>
  <threadedComment ref="T671" dT="2020-10-12T13:11:11.31" personId="{9C2FB8A0-69AC-4C09-B3A4-DE31F95E4871}" id="{46C8F6C7-68E7-4B03-AFAC-C4CB3E887B32}">
    <text>estimated from egg regression database (Oct 2020)</text>
  </threadedComment>
  <threadedComment ref="N673" dT="2020-08-04T15:24:38.44" personId="{9C2FB8A0-69AC-4C09-B3A4-DE31F95E4871}" id="{F09777D7-F64B-49FA-8EE1-3F49E2F27C20}">
    <text>estimated from BM-CL regression dataset using G. muhlenbergii from Zappalorti (unpublished)</text>
  </threadedComment>
  <threadedComment ref="N675" dT="2020-08-04T15:24:38.44" personId="{9C2FB8A0-69AC-4C09-B3A4-DE31F95E4871}" id="{22BAB610-A4BC-4E74-85CC-46F084AA9673}">
    <text>estimated from BM-CL regression dataset using G. muhlenbergii from Zappalorti (unpublished)</text>
  </threadedComment>
  <threadedComment ref="I677" dT="2022-01-23T17:46:16.65" personId="{4E95C416-F42E-44F8-BD76-9627AA3B78BA}" id="{76090834-2A20-4BB7-BC31-74F8596D7F6A}">
    <text>estimated from 40.05-40.83</text>
  </threadedComment>
  <threadedComment ref="N677" dT="2020-08-04T15:24:38.44" personId="{9C2FB8A0-69AC-4C09-B3A4-DE31F95E4871}" id="{41D11ACB-715C-4611-9960-3E64B8EB64FF}">
    <text>estimated from BM-CL regression dataset using G. muhlenbergii from Zappalorti (unpublished)</text>
  </threadedComment>
  <threadedComment ref="N678" dT="2020-08-04T15:26:31.20" personId="{9C2FB8A0-69AC-4C09-B3A4-DE31F95E4871}" id="{4123DB7D-A240-408C-9661-D8BD72CBDD05}">
    <text>estiamted from BM-CL regression dataset using Graptemys pulchra</text>
  </threadedComment>
  <threadedComment ref="T682" dT="2020-07-08T18:20:50.86" personId="{9C2FB8A0-69AC-4C09-B3A4-DE31F95E4871}" id="{15715B22-D156-4E91-B319-BB527836963A}">
    <text>estimated from egg data (July 2020)</text>
  </threadedComment>
  <threadedComment ref="M685" dT="2020-04-15T18:50:13.99" personId="{BB9FA97D-30F9-450E-953B-CAF857939ABE}" id="{16110649-B5E2-408E-A05D-2ABF9362AF83}">
    <text>“estimated from Fig. 24”</text>
  </threadedComment>
  <threadedComment ref="N685" dT="2020-08-04T15:26:31.20" personId="{9C2FB8A0-69AC-4C09-B3A4-DE31F95E4871}" id="{C706D89D-941F-4A28-BF24-A7E6BAAA1A20}">
    <text>estiamted from BM-CL regression dataset using Graptemys pulchra from Lindeman (unpublished)</text>
  </threadedComment>
  <threadedComment ref="T685" dT="2020-10-12T13:13:33.65" personId="{9C2FB8A0-69AC-4C09-B3A4-DE31F95E4871}" id="{3D11F2A0-EEE4-4F99-A975-F35A0DFEC7B9}">
    <text>estimated from egg regression database using G. barbouri (Oct 2020)</text>
  </threadedComment>
  <threadedComment ref="X685" dT="2020-07-20T11:21:53.90" personId="{9C2FB8A0-69AC-4C09-B3A4-DE31F95E4871}" id="{B141D939-4A7A-4ABC-9A6A-89581470852C}">
    <text>Range 1-6</text>
  </threadedComment>
  <threadedComment ref="N687" dT="2020-08-04T15:34:20.38" personId="{9C2FB8A0-69AC-4C09-B3A4-DE31F95E4871}" id="{19575421-0214-4554-8AFD-134D093F5C02}">
    <text>estimated from our BM-CL regression dataset using Graptemys nigrinoda from Roddewig (2010)</text>
  </threadedComment>
  <threadedComment ref="N688" dT="2020-08-04T15:34:20.38" personId="{9C2FB8A0-69AC-4C09-B3A4-DE31F95E4871}" id="{D883570F-D80F-4904-8998-9A6AE59A543F}">
    <text>estimated from our BM-CL regression dataset using Graptemys nigrinoda from Roddewig (2010)</text>
  </threadedComment>
  <threadedComment ref="N689" dT="2020-08-04T15:34:20.38" personId="{9C2FB8A0-69AC-4C09-B3A4-DE31F95E4871}" id="{8251D51B-E038-4E57-9F1E-FB033EB5064D}">
    <text>estimated from our BM-CL regression dataset using Graptemys nigrinoda from Roddewig (2010)</text>
  </threadedComment>
  <threadedComment ref="N690" dT="2020-08-04T15:34:20.38" personId="{9C2FB8A0-69AC-4C09-B3A4-DE31F95E4871}" id="{83B111AC-7818-4756-ACC5-4523F87AA875}">
    <text>estimated from our BM-CL regression dataset using Graptemys nigrinoda from Roddewig (2010)</text>
  </threadedComment>
  <threadedComment ref="N693" dT="2020-09-11T14:40:21.38" personId="{9C2FB8A0-69AC-4C09-B3A4-DE31F95E4871}" id="{05741705-8AA1-4A2C-80EC-02311F36EF47}">
    <text>estimated from BM-CL regression database Iverson 1984 (Sept 2020)</text>
  </threadedComment>
  <threadedComment ref="M696" dT="2021-01-22T20:36:54.53" personId="{06DEDB07-59D1-417E-83D0-6B7F6C6F5DD5}" id="{EB0333F1-0FF0-4FB0-85BF-7D8DBF81F478}">
    <text>PL = 20.38; estimate using 0.890 from Iverson et al (2019)</text>
  </threadedComment>
  <threadedComment ref="N696" dT="2020-09-11T14:40:21.38" personId="{9C2FB8A0-69AC-4C09-B3A4-DE31F95E4871}" id="{BBFD7D52-4908-4279-985B-24D58CBFB2FA}">
    <text>estimated from BM-CL regression database Iverson 1984 (Sept 2020)</text>
  </threadedComment>
  <threadedComment ref="M700" dT="2020-10-16T16:31:34.94" personId="{9C2FB8A0-69AC-4C09-B3A4-DE31F95E4871}" id="{899B73F4-9407-402E-A8CF-5F7613D9D9AB}">
    <text>estimated from BM-CL regression using G. pulchra (oct 2020)</text>
  </threadedComment>
  <threadedComment ref="V700" dT="2022-02-05T12:09:12.74" personId="{4E95C416-F42E-44F8-BD76-9627AA3B78BA}" id="{AD07A594-0CFB-4A45-B7B6-FC87E4B2A577}">
    <text>85 is reported in the paper but 13.9*7.5 = 104.25, so data is inconsistent.</text>
  </threadedComment>
  <threadedComment ref="W700" dT="2022-02-05T12:10:04.55" personId="{4E95C416-F42E-44F8-BD76-9627AA3B78BA}" id="{FE65B333-6C8E-4703-A21E-CE358665BF02}">
    <text>published data in table are inconsistent. From our calculations, this should be 5.</text>
  </threadedComment>
  <threadedComment ref="O701" dT="2022-02-13T13:34:38.13" personId="{4E95C416-F42E-44F8-BD76-9627AA3B78BA}" id="{CEACAD0D-98A4-4E8F-A6A8-1C9C9464D620}">
    <text>8-9 reported</text>
  </threadedComment>
  <threadedComment ref="F702" dT="2021-03-15T14:43:55.25" personId="{06DEDB07-59D1-417E-83D0-6B7F6C6F5DD5}" id="{FD191045-F6DE-4BEC-9BC5-51FE6119D4DC}">
    <text>from delticola area</text>
  </threadedComment>
  <threadedComment ref="N702" dT="2020-06-26T18:48:46.07" personId="{9C2FB8A0-69AC-4C09-B3A4-DE31F95E4871}" id="{A5511320-0A72-4F5D-9F26-BBE9C537CF4C}">
    <text>Estimated from BM = 0.18863*CL^2.8964 in Roddewig 2010</text>
  </threadedComment>
  <threadedComment ref="N704" dT="2020-06-26T18:48:46.07" personId="{9C2FB8A0-69AC-4C09-B3A4-DE31F95E4871}" id="{1921EB19-DBD3-47BF-ACD7-97304898D429}">
    <text>Estimated from BM = 0.18863*CL^2.8964 in Roddewig 2010</text>
  </threadedComment>
  <threadedComment ref="N705" dT="2020-06-26T18:48:46.07" personId="{9C2FB8A0-69AC-4C09-B3A4-DE31F95E4871}" id="{0E52C7BA-F17C-4BB0-BF69-8DFE049456FC}">
    <text>Estimated from BM = 0.18863*CL^2.8964 in Roddewig 2010</text>
  </threadedComment>
  <threadedComment ref="T705" dT="2020-10-12T13:17:09.02" personId="{9C2FB8A0-69AC-4C09-B3A4-DE31F95E4871}" id="{3F04D297-35F0-4DA0-BF7A-D5D988C49B09}">
    <text>estimated from egg regression database (Oct 2020)</text>
  </threadedComment>
  <threadedComment ref="N707" dT="2020-06-26T18:48:46.07" personId="{9C2FB8A0-69AC-4C09-B3A4-DE31F95E4871}" id="{6C7731E2-1553-4A06-987C-2295E0BABCC2}">
    <text>Estimated from BM = 0.18863*CL^2.8964 in Roddewig 2010</text>
  </threadedComment>
  <threadedComment ref="T707" dT="2020-09-29T16:05:01.06" personId="{9C2FB8A0-69AC-4C09-B3A4-DE31F95E4871}" id="{9A5DD18A-EEFF-474E-8351-98ACA48A481E}">
    <text>estimated from our egg database using G. nigrinoda</text>
  </threadedComment>
  <threadedComment ref="N709" dT="2020-06-26T18:48:46.07" personId="{9C2FB8A0-69AC-4C09-B3A4-DE31F95E4871}" id="{38D4C408-091D-44AA-AC6B-E860C8A5450B}">
    <text>Estimated from BM = 0.18863*CL^2.8964 in Roddewig 2010</text>
  </threadedComment>
  <threadedComment ref="N710" dT="2020-06-26T18:48:46.07" personId="{9C2FB8A0-69AC-4C09-B3A4-DE31F95E4871}" id="{D48D47C0-C0D8-4C81-BA24-216758CE2868}">
    <text>Estimated from BM-CL regression data set Lindeman</text>
  </threadedComment>
  <threadedComment ref="N711" dT="2020-06-26T18:48:46.07" personId="{9C2FB8A0-69AC-4C09-B3A4-DE31F95E4871}" id="{E927E9B1-A990-4DB6-833E-CAE8D1108C50}">
    <text>Estimated from BM-CL regression data set Lindeman</text>
  </threadedComment>
  <threadedComment ref="N713" dT="2020-07-13T20:09:56.37" personId="{9C2FB8A0-69AC-4C09-B3A4-DE31F95E4871}" id="{CBDB0FD1-E9B4-4501-9EFC-91318C4C44EA}">
    <text>estimated from regression using Lindeman unpublished</text>
  </threadedComment>
  <threadedComment ref="N715" dT="2020-07-13T20:10:02.25" personId="{9C2FB8A0-69AC-4C09-B3A4-DE31F95E4871}" id="{8F9B7FF8-79AF-4956-92E2-4FC5E3E7B795}">
    <text>estimated from regression using Lindeman unpublished</text>
  </threadedComment>
  <threadedComment ref="I716" dT="2020-12-29T16:43:25.71" personId="{06DEDB07-59D1-417E-83D0-6B7F6C6F5DD5}" id="{28D636AA-B78E-48E4-86D7-7C786FD2FABD}">
    <text>Not given by author, but was estimated.</text>
  </threadedComment>
  <threadedComment ref="M717" dT="2020-10-16T16:31:34.94" personId="{9C2FB8A0-69AC-4C09-B3A4-DE31F95E4871}" id="{8B8F0C11-D1E4-4E36-B142-99ED201B6122}">
    <text>estimated from BM-CL regression using G. pulchra (oct 2020)</text>
  </threadedComment>
  <threadedComment ref="V717" dT="2022-02-05T12:10:51.32" personId="{4E95C416-F42E-44F8-BD76-9627AA3B78BA}" id="{CB97EBEA-3701-4854-88E1-6B90977D2304}">
    <text>published data in table are inconsistent</text>
  </threadedComment>
  <threadedComment ref="N719" dT="2020-06-26T18:48:46.07" personId="{9C2FB8A0-69AC-4C09-B3A4-DE31F95E4871}" id="{9F5E0A44-E1E1-4EA6-A7F7-CB7915FC7D76}">
    <text>Estimated from BM-CL regression data set Lindeman</text>
  </threadedComment>
  <threadedComment ref="T720" dT="2020-10-12T13:15:27.26" personId="{9C2FB8A0-69AC-4C09-B3A4-DE31F95E4871}" id="{F73DCE18-6AD4-45D8-85D3-6AF1F5B26043}">
    <text>estimated from egg regression database using Moll unpub. data (Oct 2020)</text>
  </threadedComment>
  <threadedComment ref="N722" dT="2020-06-26T18:48:46.07" personId="{9C2FB8A0-69AC-4C09-B3A4-DE31F95E4871}" id="{2B8E12C5-C940-46F7-B9A5-E77B1AEF4CE0}">
    <text>Estimated from BM-CL regression data set Lindeman</text>
  </threadedComment>
  <threadedComment ref="N724" dT="2020-06-26T18:48:46.07" personId="{9C2FB8A0-69AC-4C09-B3A4-DE31F95E4871}" id="{63C70BB0-E6D4-42ED-B8C4-E446B6F4FEE2}">
    <text>Estimated from BM-CL regression data set Lindeman</text>
  </threadedComment>
  <threadedComment ref="T724" dT="2020-10-12T13:15:27.26" personId="{9C2FB8A0-69AC-4C09-B3A4-DE31F95E4871}" id="{516FD462-9833-4D7B-8A2A-E0753387E1E9}">
    <text>estimated from egg regression database using Moll unpub. data (Oct 2020)</text>
  </threadedComment>
  <threadedComment ref="O726" dT="2022-02-13T13:37:21.19" personId="{4E95C416-F42E-44F8-BD76-9627AA3B78BA}" id="{F4C929F1-AF5C-46E3-A210-955A72CC03A9}">
    <text>8-10 reported</text>
  </threadedComment>
  <threadedComment ref="N728" dT="2021-01-19T18:32:20.94" personId="{06DEDB07-59D1-417E-83D0-6B7F6C6F5DD5}" id="{09250937-E49F-4A91-8B9E-106E4FE43D68}">
    <text>estimated from BM-CL regressions database (Jan 2021)</text>
  </threadedComment>
  <threadedComment ref="M732" dT="2020-07-13T19:12:45.30" personId="{9C2FB8A0-69AC-4C09-B3A4-DE31F95E4871}" id="{FC81F4DE-A6FB-471E-A8B8-44BFEB23EB92}">
    <text>PL = 12.12, converted from Lindeman data PL/CL = 0.9207</text>
  </threadedComment>
  <threadedComment ref="M733" dT="2020-07-13T19:12:45.30" personId="{9C2FB8A0-69AC-4C09-B3A4-DE31F95E4871}" id="{4852ECEA-F285-4FEF-A508-7C52B9A838F8}">
    <text>PL = 12.73, converted from Lindeman data PL/CL = 0.9207</text>
  </threadedComment>
  <threadedComment ref="M734" dT="2020-07-13T19:12:45.30" personId="{9C2FB8A0-69AC-4C09-B3A4-DE31F95E4871}" id="{68EFFFA6-48A7-4470-B515-07C3CBD0C29E}">
    <text>PL = 16.59, converted from Lindeman data PL/CL = 0.9207</text>
  </threadedComment>
  <threadedComment ref="M735" dT="2020-07-13T19:12:45.30" personId="{9C2FB8A0-69AC-4C09-B3A4-DE31F95E4871}" id="{99728075-884B-4DC4-BC84-30E3C141CAC6}">
    <text>PL = 16.57, converted from Lindeman data PL/CL = 0.9207</text>
  </threadedComment>
  <threadedComment ref="M736" dT="2020-07-13T19:12:45.30" personId="{9C2FB8A0-69AC-4C09-B3A4-DE31F95E4871}" id="{2920FA93-0DD6-463F-8B21-27742307383F}">
    <text>PL = 12.73, converted from Lindeman data PL/CL = 0.9207</text>
  </threadedComment>
  <threadedComment ref="M737" dT="2020-07-13T19:12:45.30" personId="{9C2FB8A0-69AC-4C09-B3A4-DE31F95E4871}" id="{4FC72719-1BD4-4359-987A-AA5B45C6CE5B}">
    <text>PL = 17.15, converted from Lindeman data PL/CL = 0.9207</text>
  </threadedComment>
  <threadedComment ref="N737" dT="2020-07-13T19:56:47.85" personId="{9C2FB8A0-69AC-4C09-B3A4-DE31F95E4871}" id="{54F01970-C87E-4703-94E6-B15D38F0B4BE}">
    <text>Estimated from regression from our data set (data provided by Lindeman)</text>
  </threadedComment>
  <threadedComment ref="R738" dT="2020-08-03T16:01:42.38" personId="{9C2FB8A0-69AC-4C09-B3A4-DE31F95E4871}" id="{39BB016E-376F-4F45-A994-2A46E0FAF22C}">
    <text>estimated from egg dataset (August 2020)</text>
  </threadedComment>
  <threadedComment ref="N739" dT="2020-08-04T15:41:10.45" personId="{9C2FB8A0-69AC-4C09-B3A4-DE31F95E4871}" id="{2D323883-C39C-439A-80A7-EEB9259FDB16}">
    <text>estiamted from BM-CL regression dataset using Graptemys sabinensis from Lindeman (unpub. data)</text>
  </threadedComment>
  <threadedComment ref="I740" dT="2021-01-21T17:31:16.40" personId="{06DEDB07-59D1-417E-83D0-6B7F6C6F5DD5}" id="{7C3B4519-197C-482B-A2E4-CCE9981AADBA}">
    <text>estimated ca. 31</text>
  </threadedComment>
  <threadedComment ref="N740" dT="2020-08-04T15:41:10.45" personId="{9C2FB8A0-69AC-4C09-B3A4-DE31F95E4871}" id="{BB42E0A5-C0E7-4BBE-8920-EE671667A846}">
    <text>estiamted from BM-CL regression dataset using Graptemys sabinensis from Lindeman (unpub. data)</text>
  </threadedComment>
  <threadedComment ref="T745" dT="2020-04-01T20:00:43.36" personId="{BB9FA97D-30F9-450E-953B-CAF857939ABE}" id="{5BCB0782-E9C0-4F27-B77C-80D3EFF5B807}">
    <text>estimated from EM = 0.423EL + 0.464EW - 15.148 Iverson unpublished data (July 2020)</text>
  </threadedComment>
  <threadedComment ref="T747" dT="2020-04-01T20:00:43.36" personId="{BB9FA97D-30F9-450E-953B-CAF857939ABE}" id="{54756547-A6C8-4409-AA45-8A4573DAA1C2}">
    <text>estimated from EM = 0.423EL + 0.464EW - 15.148 Iverson unpublished data (July 2020)</text>
  </threadedComment>
  <threadedComment ref="N749" dT="2020-08-04T15:42:03.62" personId="{9C2FB8A0-69AC-4C09-B3A4-DE31F95E4871}" id="{336663D6-7B30-4C67-8C41-3A922AA371F0}">
    <text>estimated from BM-CL data in Simoes and Chambers 1999</text>
  </threadedComment>
  <threadedComment ref="N751" dT="2020-08-04T15:42:03.62" personId="{9C2FB8A0-69AC-4C09-B3A4-DE31F95E4871}" id="{9B851B35-A550-47B3-8D2C-3B0904FD4F83}">
    <text>estimated from BM-CL data in Simoes and Chambers 1999</text>
  </threadedComment>
  <threadedComment ref="T751" dT="2020-04-01T20:00:43.36" personId="{BB9FA97D-30F9-450E-953B-CAF857939ABE}" id="{F9BAD4CD-EDD4-4799-A079-DA3058D9FCFA}">
    <text>estimated from EM = 0.423EL + 0.464EW - 15.148 Iverson unpublished data (July 2020)</text>
  </threadedComment>
  <threadedComment ref="O752" dT="2022-03-11T15:25:27.65" personId="{4E95C416-F42E-44F8-BD76-9627AA3B78BA}" id="{9CF32597-2B1F-413B-9BF8-A797DCFE967D}">
    <text>reported 4-5</text>
  </threadedComment>
  <threadedComment ref="M753" dT="2020-07-09T13:49:39.07" personId="{9C2FB8A0-69AC-4C09-B3A4-DE31F95E4871}" id="{2E914006-2F8E-4408-92D4-07D4A30C6856}">
    <text>PL = 15.307
CL/PL = 1.106807 (Lovich Data)</text>
  </threadedComment>
  <threadedComment ref="N753" dT="2020-08-04T15:42:03.62" personId="{9C2FB8A0-69AC-4C09-B3A4-DE31F95E4871}" id="{16CB2836-DE7B-49A2-9BB7-DC04602C9935}">
    <text>estimated from BM-CL data in Simoes and Chambers 1999</text>
  </threadedComment>
  <threadedComment ref="M754" dT="2020-07-09T13:48:40.37" personId="{9C2FB8A0-69AC-4C09-B3A4-DE31F95E4871}" id="{E5D8FAFD-BAA0-464A-BAC9-E5F6AC0511C4}">
    <text>PL = 16.014
CL/PL = 1.106807 (Lovich Data)</text>
  </threadedComment>
  <threadedComment ref="N754" dT="2020-08-04T15:42:03.62" personId="{9C2FB8A0-69AC-4C09-B3A4-DE31F95E4871}" id="{AA7E61B9-857B-444B-B241-77B152851EF7}">
    <text>estimated from BM-CL data in Simoes and Chambers 1999</text>
  </threadedComment>
  <threadedComment ref="N755" dT="2020-08-04T15:42:03.62" personId="{9C2FB8A0-69AC-4C09-B3A4-DE31F95E4871}" id="{1BCE1CB8-F7CC-4A13-B06D-78CCC004E6A2}">
    <text>estimated from BM-CL data in Simoes and Chambers 1999</text>
  </threadedComment>
  <threadedComment ref="N757" dT="2020-04-01T17:50:10.87" personId="{BB9FA97D-30F9-450E-953B-CAF857939ABE}" id="{4CE6689B-FC11-4D5C-BFBE-FC6995FDAF7A}">
    <text>estimated from BM = 0.22558*CL^2.8753 via Burns and Williams (1972)</text>
  </threadedComment>
  <threadedComment ref="M759" dT="2020-07-09T13:50:10.76" personId="{9C2FB8A0-69AC-4C09-B3A4-DE31F95E4871}" id="{44F98C0E-4AAB-4DF7-A81C-11979BF72AB5}">
    <text>PL = 15.44
CL/PL = 1.106807 (Lovich Data)</text>
  </threadedComment>
  <threadedComment ref="N759" dT="2020-08-04T15:42:03.62" personId="{9C2FB8A0-69AC-4C09-B3A4-DE31F95E4871}" id="{247746E2-CDAA-4007-894E-7E7972C972F1}">
    <text>estimated from BM-CL data in Simoes and Chambers 1999</text>
  </threadedComment>
  <threadedComment ref="N760" dT="2020-04-01T17:50:10.87" personId="{BB9FA97D-30F9-450E-953B-CAF857939ABE}" id="{4E84FA0E-BFEA-44B4-91DE-6B530CB2FBF7}">
    <text>estimated from BM = 0.22558*CL^2.8753 via Burns and Williams (1972)</text>
  </threadedComment>
  <threadedComment ref="T760" dT="2020-10-12T13:18:30.91" personId="{9C2FB8A0-69AC-4C09-B3A4-DE31F95E4871}" id="{18D476D6-1006-42F0-B751-9DE35C677557}">
    <text>estimated from egg regression database (oct 2020)</text>
  </threadedComment>
  <threadedComment ref="M767" dT="2020-04-01T17:53:39.96" personId="{BB9FA97D-30F9-450E-953B-CAF857939ABE}" id="{F9AF869D-6365-4D04-8656-968466C281F1}">
    <text>estimated from BM = 0.22558*CL^2.8753 via Burns and Williams (1972)</text>
  </threadedComment>
  <threadedComment ref="R768" dT="2021-01-25T17:22:42.80" personId="{06DEDB07-59D1-417E-83D0-6B7F6C6F5DD5}" id="{1BBD5EA9-9093-4B2C-B897-4E09C887E071}">
    <text>estimated from35.5-39.21 by taking median</text>
  </threadedComment>
  <threadedComment ref="S768" dT="2021-01-25T17:38:44.39" personId="{06DEDB07-59D1-417E-83D0-6B7F6C6F5DD5}" id="{87B80A74-07AA-4309-970E-FCEEA5BE70A6}">
    <text>estimated from 20.85-23.01 by taking median</text>
  </threadedComment>
  <threadedComment ref="T768" dT="2020-09-11T18:14:06.49" personId="{9C2FB8A0-69AC-4C09-B3A4-DE31F95E4871}" id="{04380BEB-DC0D-4215-AA24-E1F9A4C8E8AB}">
    <text>estimated from the egg database (Sept 2020)</text>
  </threadedComment>
  <threadedComment ref="N769" dT="2020-07-13T20:58:56.19" personId="{9C2FB8A0-69AC-4C09-B3A4-DE31F95E4871}" id="{D9E4408A-B633-4DF0-BEB7-64A44E47C299}">
    <text>estimated from BM = 0.22558*CL^2.8753 via Burns and Williams (1972)</text>
  </threadedComment>
  <threadedComment ref="N771" dT="2020-07-13T20:57:51.15" personId="{9C2FB8A0-69AC-4C09-B3A4-DE31F95E4871}" id="{3CABDF84-88A8-4A7A-8029-899746DB2C87}">
    <text>estimated from regression from data provided by Godwin, unpublished data</text>
  </threadedComment>
  <threadedComment ref="R771" dT="2020-12-28T16:09:40.52" personId="{06DEDB07-59D1-417E-83D0-6B7F6C6F5DD5}" id="{D4A6D2E9-A28F-4448-A7FE-674961398FCB}">
    <text>estimated from the EL/EW ratio for alabamensis from Lahanas 1982 = 1.4013 (Dec 2020)</text>
  </threadedComment>
  <threadedComment ref="T771" dT="2020-12-28T16:10:09.62" personId="{06DEDB07-59D1-417E-83D0-6B7F6C6F5DD5}" id="{F3953368-4A4F-4CF8-8DEC-6066088495E9}">
    <text>estimated using our egg regression database using P. nelsoni (Dec 2020)</text>
  </threadedComment>
  <threadedComment ref="M772" dT="2020-09-29T13:29:12.13" personId="{9C2FB8A0-69AC-4C09-B3A4-DE31F95E4871}" id="{670F844F-799B-4175-9E96-56E15DA984D2}">
    <text>estimated from BM-CL regression database from Godwin (unpub data).</text>
  </threadedComment>
  <threadedComment ref="O773" dT="2022-03-11T15:28:58.56" personId="{4E95C416-F42E-44F8-BD76-9627AA3B78BA}" id="{759144AE-6576-4236-9CCD-4A696BE0F9F0}">
    <text>Reported 13-24 years</text>
  </threadedComment>
  <threadedComment ref="N774" dT="2020-07-30T16:48:29.50" personId="{9C2FB8A0-69AC-4C09-B3A4-DE31F95E4871}" id="{DFFEB0E7-C768-4A9A-809D-108DFB86E0CF}">
    <text>estimated from our BM_CL dat afrom P. concinna using Godwin, unpublished</text>
  </threadedComment>
  <threadedComment ref="T775" dT="2020-10-12T13:19:20.84" personId="{9C2FB8A0-69AC-4C09-B3A4-DE31F95E4871}" id="{016F0C64-E44F-4135-8017-09547EC5E651}">
    <text>estimated from egg regression database (oct 2020)</text>
  </threadedComment>
  <threadedComment ref="N776" dT="2020-07-13T20:43:19.32" personId="{9C2FB8A0-69AC-4C09-B3A4-DE31F95E4871}" id="{024C5B05-2796-4DEC-AA50-2FE854858B18}">
    <text>estimated from regression from the Bon Secour River, Jim Godwin, unpublished data</text>
  </threadedComment>
  <threadedComment ref="I777" dT="2020-12-29T16:52:15.80" personId="{06DEDB07-59D1-417E-83D0-6B7F6C6F5DD5}" id="{F2FA719E-7F49-4998-A238-F759E60968DD}">
    <text>There were multiple sites.</text>
  </threadedComment>
  <threadedComment ref="N782" dT="2020-07-13T20:43:19.32" personId="{9C2FB8A0-69AC-4C09-B3A4-DE31F95E4871}" id="{FACFB225-DA5A-4076-9F04-A1A002099E8B}">
    <text>estimated from regression from the Bon Secour River, Jim Godwin, unpublished data</text>
  </threadedComment>
  <threadedComment ref="T782" dT="2020-09-29T16:07:25.74" personId="{9C2FB8A0-69AC-4C09-B3A4-DE31F95E4871}" id="{51184FEB-7069-4A39-BC3D-87FEEB45516C}">
    <text>estimated from our egg database</text>
  </threadedComment>
  <threadedComment ref="M783" dT="2020-07-13T20:45:00.76" personId="{9C2FB8A0-69AC-4C09-B3A4-DE31F95E4871}" id="{3BD49A57-F9B4-4755-B3C0-63A709F0E13D}">
    <text>PL = 27.0, converted using 0.927532 from Godwin, unpublised data from P. concinna from the Bon Secour River.</text>
  </threadedComment>
  <threadedComment ref="N784" dT="2020-07-13T20:43:19.32" personId="{9C2FB8A0-69AC-4C09-B3A4-DE31F95E4871}" id="{5A13BFAD-02F7-449C-AF35-B7673672B2B9}">
    <text>estimated from regression from the Bon Secour River, Jim Godwin, unpublished data</text>
  </threadedComment>
  <threadedComment ref="N785" dT="2020-07-13T20:43:19.32" personId="{9C2FB8A0-69AC-4C09-B3A4-DE31F95E4871}" id="{BFEB3E46-B69A-4905-81C1-1C3F5A93A568}">
    <text>estimated from regression from the Bon Secour River, Jim Godwin, unpublished data for P. concinna</text>
  </threadedComment>
  <threadedComment ref="M786" dT="2020-07-13T20:45:00.76" personId="{9C2FB8A0-69AC-4C09-B3A4-DE31F95E4871}" id="{87C14C6B-A35D-42F7-8BA3-81A106FF6F15}">
    <text>PL = 23.8, converted using 0.927532 from Godwin, unpublised data from P. concinna from the Bon Secour River.</text>
  </threadedComment>
  <threadedComment ref="N787" dT="2020-07-13T20:43:19.32" personId="{9C2FB8A0-69AC-4C09-B3A4-DE31F95E4871}" id="{C5CA75F7-5390-4249-8544-76129DD499FB}">
    <text>estimated from regression from the Bon Secour River, Jim Godwin, unpublished data for P. concinna</text>
  </threadedComment>
  <threadedComment ref="M788" dT="2020-07-13T20:45:00.76" personId="{9C2FB8A0-69AC-4C09-B3A4-DE31F95E4871}" id="{EF5838CC-8EA7-4B1F-ADF5-6093EB9A3202}">
    <text>PL = 22.3, converted using 0.927532 from Godwin, unpublised data from P. concinna from the Bon Secour River.</text>
  </threadedComment>
  <threadedComment ref="N788" dT="2020-07-13T20:43:19.32" personId="{9C2FB8A0-69AC-4C09-B3A4-DE31F95E4871}" id="{2D966FF3-A800-4BE9-94DD-8B53C441F709}">
    <text>estimated from regression from the Bon Secour River, Jim Godwin, unpublished data for P. concinna</text>
  </threadedComment>
  <threadedComment ref="M789" dT="2020-09-11T14:47:08.27" personId="{9C2FB8A0-69AC-4C09-B3A4-DE31F95E4871}" id="{48195C94-4C31-4E66-B45D-6920F0879B44}">
    <text>estiamted from BM-CL regressions database Godwin unpublished. (sept 2020)</text>
  </threadedComment>
  <threadedComment ref="M790" dT="2020-07-13T20:45:00.76" personId="{9C2FB8A0-69AC-4C09-B3A4-DE31F95E4871}" id="{8F1DFB40-CB4F-41C3-BEB6-0CE7A0F9FCE4}">
    <text>PL = 28.76, converted using 0.927532 from Godwin, unpublised data from P. concinna from the Bon Secour River.</text>
  </threadedComment>
  <threadedComment ref="N792" dT="2020-07-13T20:43:19.32" personId="{9C2FB8A0-69AC-4C09-B3A4-DE31F95E4871}" id="{6A7BB23D-9830-485D-A4B1-328C10248D6E}">
    <text>estimated from regression from the Bon Secour River, Jim Godwin, unpublished data for P. concinna</text>
  </threadedComment>
  <threadedComment ref="T792" dT="2020-09-29T16:07:57.68" personId="{9C2FB8A0-69AC-4C09-B3A4-DE31F95E4871}" id="{55713234-8B45-4282-9AED-AB8404C4B33E}">
    <text>estimated from egg database</text>
  </threadedComment>
  <threadedComment ref="N793" dT="2020-07-13T20:43:19.32" personId="{9C2FB8A0-69AC-4C09-B3A4-DE31F95E4871}" id="{BCA72E7D-CB32-4D53-BCE4-BDAFD6E3ED6D}">
    <text>estimated from regression from the Bon Secour River, Jim Godwin, unpublished data for P. concinna</text>
  </threadedComment>
  <threadedComment ref="M794" dT="2020-07-13T20:45:00.76" personId="{9C2FB8A0-69AC-4C09-B3A4-DE31F95E4871}" id="{FD994083-9B52-4703-A5E5-ACD3E666D09F}">
    <text>PL = 23.492, converted using 0.927532 from Godwin, unpublised data from P. concinna from the Bon Secour River.</text>
  </threadedComment>
  <threadedComment ref="N794" dT="2020-07-13T20:43:19.32" personId="{9C2FB8A0-69AC-4C09-B3A4-DE31F95E4871}" id="{0FF9F6FE-C16B-47DD-BEF7-027F825EDD6A}">
    <text>estimated from regression from the Bon Secour River, Jim Godwin, unpublished data for P. concinna</text>
  </threadedComment>
  <threadedComment ref="T794" dT="2020-04-01T20:03:03.80" personId="{BB9FA97D-30F9-450E-953B-CAF857939ABE}" id="{0B3D5DB9-2466-4FC9-920A-EB4CC8BC07C8}">
    <text>estimated from y = 1.509x - 23.631 Iverson Unpublished data (July 2020)</text>
  </threadedComment>
  <threadedComment ref="T795" dT="2020-10-12T13:19:20.84" personId="{9C2FB8A0-69AC-4C09-B3A4-DE31F95E4871}" id="{EFDDC0F8-64A2-4A5A-AE8B-1A74980C55C4}">
    <text>estimated from egg regression database (oct 2020)</text>
  </threadedComment>
  <threadedComment ref="N796" dT="2020-07-13T20:43:19.32" personId="{9C2FB8A0-69AC-4C09-B3A4-DE31F95E4871}" id="{865FD3C1-A314-4719-BE7E-FEA434BEAFBF}">
    <text>estimated from regression from the Bon Secour River, Jim Godwin, unpublished data for P. concinna</text>
  </threadedComment>
  <threadedComment ref="N797" dT="2020-07-13T20:43:19.32" personId="{9C2FB8A0-69AC-4C09-B3A4-DE31F95E4871}" id="{D227749B-C9B0-4778-95EE-F83D86E8949F}">
    <text>estimated from regression from the Bon Secour River, Jim Godwin, unpublished data for P. concinna</text>
  </threadedComment>
  <threadedComment ref="M798" dT="2020-07-13T20:45:00.76" personId="{9C2FB8A0-69AC-4C09-B3A4-DE31F95E4871}" id="{AFA25C43-DCAF-4F0A-BC60-F4B63D9FD2A2}">
    <text>PL = 21.6, converted using 0.927532 from Godwin, unpublised data from P. concinna from the Bon Secour River.</text>
  </threadedComment>
  <threadedComment ref="T798" dT="2020-07-08T18:36:51.02" personId="{9C2FB8A0-69AC-4C09-B3A4-DE31F95E4871}" id="{AED2FFD1-4AEE-42AA-BFA3-9293E57A7FAC}">
    <text>estimated from egg data using P. concinna/flordiana (July 2020)</text>
  </threadedComment>
  <threadedComment ref="D804" dT="2020-07-20T15:15:12.16" personId="{9C2FB8A0-69AC-4C09-B3A4-DE31F95E4871}" id="{2CB4436A-E22E-4AFB-8D37-75344A28BDB2}">
    <text>John Iverson:
Note that samples of this are included under floridana</text>
  </threadedComment>
  <threadedComment ref="R805" dT="2020-08-13T19:18:22.67" personId="{9C2FB8A0-69AC-4C09-B3A4-DE31F95E4871}" id="{BFA59C6B-F091-4450-8836-7871CD35066A}">
    <text>Hennig (2003) reported 30.71</text>
  </threadedComment>
  <threadedComment ref="S805" dT="2020-08-13T19:18:14.81" personId="{9C2FB8A0-69AC-4C09-B3A4-DE31F95E4871}" id="{DE706BA5-868F-4417-9664-827B8245EE2D}">
    <text>Hennig (2003) reported 22.73</text>
  </threadedComment>
  <threadedComment ref="T805" dT="2020-08-13T19:18:02.33" personId="{9C2FB8A0-69AC-4C09-B3A4-DE31F95E4871}" id="{52B2E28B-F118-4199-A331-581D7CD04F3D}">
    <text>Hennig (2003) reported 8.25</text>
  </threadedComment>
  <threadedComment ref="V805" dT="2020-08-13T19:17:18.62" personId="{9C2FB8A0-69AC-4C09-B3A4-DE31F95E4871}" id="{22D8E9D3-8363-4D4A-B9DC-261E9EE8DFF5}">
    <text>Hennig (2003) reported 107.25</text>
  </threadedComment>
  <threadedComment ref="W805" dT="2020-08-13T19:17:09.87" personId="{9C2FB8A0-69AC-4C09-B3A4-DE31F95E4871}" id="{D7ACAF14-A5A5-46E2-A91E-8B2774C41C93}">
    <text>Hennig (2003) reported 4.47</text>
  </threadedComment>
  <threadedComment ref="T809" dT="2020-07-08T18:43:30.56" personId="{9C2FB8A0-69AC-4C09-B3A4-DE31F95E4871}" id="{C17B7AD3-143B-43AF-BC34-904099462823}">
    <text>estimated from egg data using P. concinna/floridana (July 2020)</text>
  </threadedComment>
  <threadedComment ref="N811" dT="2020-07-13T20:43:19.32" personId="{9C2FB8A0-69AC-4C09-B3A4-DE31F95E4871}" id="{1D343629-2E27-4551-AE2D-422307E97B56}">
    <text>estimated from regression from Lindeman, unpublished data for P. texana</text>
  </threadedComment>
  <threadedComment ref="T811" dT="2020-08-28T18:16:23.65" personId="{9C2FB8A0-69AC-4C09-B3A4-DE31F95E4871}" id="{67921967-2719-4220-976E-09DBA1F9A9F5}">
    <text>estimated from regressions from our egg database using T. decorata (Aug 2020)</text>
  </threadedComment>
  <threadedComment ref="N812" dT="2020-07-13T20:43:19.32" personId="{9C2FB8A0-69AC-4C09-B3A4-DE31F95E4871}" id="{62667537-A14A-48B1-96AF-907A5F8B038B}">
    <text>estimated from regression from Lindeman, unpublished data for P. texana</text>
  </threadedComment>
  <threadedComment ref="T812" dT="2020-08-28T18:16:23.65" personId="{9C2FB8A0-69AC-4C09-B3A4-DE31F95E4871}" id="{EDD6F8E6-23D8-4F02-AC70-6409A8D9B0AB}">
    <text>estimated from regressions from our egg database using T. decorata (Aug 2020)</text>
  </threadedComment>
  <threadedComment ref="M814" dT="2020-08-21T12:25:22.17" personId="{9C2FB8A0-69AC-4C09-B3A4-DE31F95E4871}" id="{004CC5CE-E7C7-4F37-89B5-3052FE2D6C9B}">
    <text>Estimated from PL/CL = 0.9035 from the data in Lindeman 2007 (PL =25.58)</text>
  </threadedComment>
  <threadedComment ref="N814" dT="2020-07-13T20:43:19.32" personId="{9C2FB8A0-69AC-4C09-B3A4-DE31F95E4871}" id="{02585302-8CAB-479E-AA83-00E903A8C897}">
    <text>estimated from regression from Lindeman, unpublished data for P. texana</text>
  </threadedComment>
  <threadedComment ref="I816" dT="2021-01-21T17:32:22.31" personId="{06DEDB07-59D1-417E-83D0-6B7F6C6F5DD5}" id="{92AE3C56-1261-482F-A6C5-801BDD62419A}">
    <text>estimated ca. 38.9</text>
  </threadedComment>
  <threadedComment ref="N818" dT="2020-07-09T18:54:27.28" personId="{9C2FB8A0-69AC-4C09-B3A4-DE31F95E4871}" id="{AA9FD81E-7D6C-49A3-890D-6484C0DB9586}">
    <text>estimated from BM = 0.0001619*CL^3.0434 Iverson unpublished data (July 2020)</text>
  </threadedComment>
  <threadedComment ref="N826" dT="2020-07-09T18:54:27.28" personId="{9C2FB8A0-69AC-4C09-B3A4-DE31F95E4871}" id="{36C58269-2389-4511-879C-EFE60969F43D}">
    <text>estimated from BM = 0.0001619*CL^3.0434 Iverson unpublished data (July 2020)</text>
  </threadedComment>
  <threadedComment ref="N829" dT="2020-07-09T18:54:27.28" personId="{9C2FB8A0-69AC-4C09-B3A4-DE31F95E4871}" id="{327DF306-EAC0-45FD-8413-F404A48A9597}">
    <text>estimated from BM = 0.0001619*CL^3.0434 Iverson unpublished data (July 2020)</text>
  </threadedComment>
  <threadedComment ref="N830" dT="2020-07-09T18:54:27.28" personId="{9C2FB8A0-69AC-4C09-B3A4-DE31F95E4871}" id="{BEC0F675-85F4-435B-BF6F-AB84C8C77FFF}">
    <text>estimated from BM = 0.0001619*CL^3.0434 Iverson unpublished data (July 2020)</text>
  </threadedComment>
  <threadedComment ref="T830" dT="2020-10-12T13:21:21.39" personId="{9C2FB8A0-69AC-4C09-B3A4-DE31F95E4871}" id="{3AB584D0-5B13-48D3-9587-7646682555BB}">
    <text>estimated from egg regression database (oct 2020)</text>
  </threadedComment>
  <threadedComment ref="I831" dT="2021-01-21T17:32:54.35" personId="{06DEDB07-59D1-417E-83D0-6B7F6C6F5DD5}" id="{A35A8509-D4CA-4C4F-853D-7B7CB8DE5A38}">
    <text>estimated ca. 35.5</text>
  </threadedComment>
  <threadedComment ref="M832" dT="2020-07-09T18:56:03.50" personId="{9C2FB8A0-69AC-4C09-B3A4-DE31F95E4871}" id="{6CC6EE00-D4D5-4AF2-8BE4-C213DC3762D1}">
    <text>estimated from BM = 0.0001619*CL^3.0434 Iverson unpublished data (July 2020)</text>
  </threadedComment>
  <threadedComment ref="I835" dT="2022-01-23T17:47:28.28" personId="{4E95C416-F42E-44F8-BD76-9627AA3B78BA}" id="{ECDA91DC-297C-45E9-8B83-0E80FC684A37}">
    <text>estimated from 29.8-30.1</text>
  </threadedComment>
  <threadedComment ref="N835" dT="2020-09-29T13:32:21.41" personId="{9C2FB8A0-69AC-4C09-B3A4-DE31F95E4871}" id="{A6EA14A6-7847-4D7C-AF6B-BFE029A90956}">
    <text>estimated from BM-CL regression database using Iverson (unpub data).</text>
  </threadedComment>
  <threadedComment ref="M839" dT="2021-01-22T16:10:54.61" personId="{06DEDB07-59D1-417E-83D0-6B7F6C6F5DD5}" id="{86088B04-8593-47B0-B71E-4812E98D90E8}">
    <text>range 12.5-15.5</text>
  </threadedComment>
  <threadedComment ref="N839" dT="2020-09-29T13:32:21.41" personId="{9C2FB8A0-69AC-4C09-B3A4-DE31F95E4871}" id="{3DA1AD87-B719-4F54-9E9F-F7B6525BFF75}">
    <text>estimated from BM-CL regression database using Iverson (unpub data).</text>
  </threadedComment>
  <threadedComment ref="N840" dT="2020-09-29T13:32:21.41" personId="{9C2FB8A0-69AC-4C09-B3A4-DE31F95E4871}" id="{0727DF12-752A-405B-8B88-88549944ED5B}">
    <text>estimated from BM-CL regression database using Iverson (unpub data).</text>
  </threadedComment>
  <threadedComment ref="N847" dT="2020-08-28T11:20:13.93" personId="{9C2FB8A0-69AC-4C09-B3A4-DE31F95E4871}" id="{5528C7CD-2CC0-4774-AFC8-CBAD0853D4C0}">
    <text>estimated from BM-CL regressions via T. carolina (Aug 2020)</text>
  </threadedComment>
  <threadedComment ref="N848" dT="2020-08-28T11:20:13.93" personId="{9C2FB8A0-69AC-4C09-B3A4-DE31F95E4871}" id="{FE85FFBE-7AAA-4C83-AFF5-9FF97E61936E}">
    <text>estimated from BM-CL regressions via T. carolina (Aug 2020)</text>
  </threadedComment>
  <threadedComment ref="N853" dT="2020-09-11T14:48:35.08" personId="{9C2FB8A0-69AC-4C09-B3A4-DE31F95E4871}" id="{BF103E93-0FAC-4462-AA83-F4588E3B71F3}">
    <text>estimated from BM-CL regressions database Iverson unpub (Sept 2020)</text>
  </threadedComment>
  <threadedComment ref="N854" dT="2020-09-11T14:48:35.08" personId="{9C2FB8A0-69AC-4C09-B3A4-DE31F95E4871}" id="{9ACBD106-60B4-4997-AEFF-117E21A4B6F8}">
    <text>estimated from BM-CL regressions database Iverson unpub (Sept 2020)</text>
  </threadedComment>
  <threadedComment ref="N855" dT="2020-03-09T17:25:11.91" personId="{9C2FB8A0-69AC-4C09-B3A4-DE31F95E4871}" id="{8DB3CEDD-3F24-452F-9D72-3C0E1AAC2FD5}">
    <text>Estiamted from BM = 0.2756*CL^2.954 Iverson (1984)</text>
  </threadedComment>
  <threadedComment ref="M856" dT="2020-04-01T17:55:51.60" personId="{BB9FA97D-30F9-450E-953B-CAF857939ABE}" id="{F172137F-9170-4384-AD39-11F1AA7536E9}">
    <text>estimated from BM = 0.2756*CL^2.954 via Iverson 1984</text>
  </threadedComment>
  <threadedComment ref="M858" dT="2020-04-01T17:55:51.60" personId="{BB9FA97D-30F9-450E-953B-CAF857939ABE}" id="{17E4C3CD-5D31-47BB-9593-54AFB3343532}">
    <text>estimated from BM = 0.2756*CL^2.954 via Iverson 1984</text>
  </threadedComment>
  <threadedComment ref="T859" dT="2020-04-01T20:12:07.98" personId="{BB9FA97D-30F9-450E-953B-CAF857939ABE}" id="{B09966DC-6518-44AA-BA4F-9E7D88CC60A4}">
    <text>estimated from y = 1.2158x - 16.042 Iverson unpublished data (July 2020)</text>
  </threadedComment>
  <threadedComment ref="S860" dT="2020-04-01T20:12:07.98" personId="{BB9FA97D-30F9-450E-953B-CAF857939ABE}" id="{A29E85AD-EC4F-4541-A233-4A5D83BF599C}">
    <text>estimated from y = 1.2158x - 16.042 Iverson unpublished data (July 2020)</text>
  </threadedComment>
  <threadedComment ref="N862" dT="2020-03-09T17:25:11.91" personId="{9C2FB8A0-69AC-4C09-B3A4-DE31F95E4871}" id="{E4ECF541-8C1E-44C1-ACA5-91203B0A4D77}">
    <text>Estiamted from BM = 0.2756*CL^2.954 Iverson (1984)</text>
  </threadedComment>
  <threadedComment ref="N864" dT="2020-03-09T17:25:11.91" personId="{9C2FB8A0-69AC-4C09-B3A4-DE31F95E4871}" id="{8DB3CEDD-3F24-452E-9D72-3C0E1AAC2FD5}">
    <text>Estiamted from BM = 0.2756*CL^2.954 Iverson (1984)</text>
  </threadedComment>
  <threadedComment ref="T864" dT="2020-04-01T20:12:07.98" personId="{BB9FA97D-30F9-450E-953B-CAF857939ABE}" id="{13761EA2-F6A8-468B-B791-DBEFED111EC8}">
    <text>estimated from y = 1.2158x - 16.042 Iverson unpublished data (July 2020)</text>
  </threadedComment>
  <threadedComment ref="S868" dT="2021-03-15T15:17:08.75" personId="{06DEDB07-59D1-417E-83D0-6B7F6C6F5DD5}" id="{A4710E68-8778-4AC7-B4FD-338B8EE9D19B}">
    <text>reported as13mm  in original paper likely a typo</text>
  </threadedComment>
  <threadedComment ref="M869" dT="2020-07-09T18:56:03.50" personId="{9C2FB8A0-69AC-4C09-B3A4-DE31F95E4871}" id="{09F56563-648B-4065-B9D8-C621FB6C44EF}">
    <text>estimated from BM = 0.0001619*CL^3.0434 Iverson unpublished data (July 2020)</text>
  </threadedComment>
  <threadedComment ref="M870" dT="2020-08-04T15:49:13.06" personId="{9C2FB8A0-69AC-4C09-B3A4-DE31F95E4871}" id="{859A634E-E40F-40D8-8E36-363AB79CDEBA}">
    <text>estimated from BM = 0.0001619*CL^3.0434 Iverson unpublished data (July 2020)</text>
  </threadedComment>
  <threadedComment ref="N871" dT="2020-07-09T18:54:27.28" personId="{9C2FB8A0-69AC-4C09-B3A4-DE31F95E4871}" id="{763324EE-2420-483B-A262-1B32E41D6A94}">
    <text>estimated from BM = 0.0001619*CL^3.0434 Iverson unpublished data (July 2020)</text>
  </threadedComment>
  <threadedComment ref="N875" dT="2020-08-04T15:51:05.36" personId="{9C2FB8A0-69AC-4C09-B3A4-DE31F95E4871}" id="{BACB2C0E-19AC-4A08-A1AC-BAB734E9DD9B}">
    <text>estimated from BM-CL regression using Trachemys scripta from AR using Iverson, unpublished</text>
  </threadedComment>
  <threadedComment ref="R876" dT="2021-01-25T17:22:03.93" personId="{06DEDB07-59D1-417E-83D0-6B7F6C6F5DD5}" id="{FF00A9B2-3367-41E2-9E66-117131B7EAF9}">
    <text>estimated from 31-42.5 by taking median</text>
  </threadedComment>
  <threadedComment ref="S876" dT="2021-01-25T17:38:24.12" personId="{06DEDB07-59D1-417E-83D0-6B7F6C6F5DD5}" id="{40E3778C-B6F2-4797-B3E5-842A9ABF307D}">
    <text>estimated from 22-27.5 by taking median</text>
  </threadedComment>
  <threadedComment ref="N879" dT="2020-08-04T15:51:05.36" personId="{9C2FB8A0-69AC-4C09-B3A4-DE31F95E4871}" id="{3AF966BF-1A40-4AF0-8267-30D6339ECBF4}">
    <text>estimated from BM-CL regression using Trachemys scripta from AR using Iverson, unpublished</text>
  </threadedComment>
  <threadedComment ref="N880" dT="2020-08-04T15:51:05.36" personId="{9C2FB8A0-69AC-4C09-B3A4-DE31F95E4871}" id="{7A81660B-128C-4948-95FC-6D2C9CAB8615}">
    <text>estimated from BM-CL regression using Trachemys scripta from AR using Iverson, unpublished</text>
  </threadedComment>
  <threadedComment ref="N881" dT="2020-08-04T15:51:05.36" personId="{9C2FB8A0-69AC-4C09-B3A4-DE31F95E4871}" id="{C107956E-2898-45FF-B38F-58E1FEB7C138}">
    <text>estimated from BM-CL regression using Trachemys scripta from AR using Iverson, unpublished</text>
  </threadedComment>
  <threadedComment ref="T881" dT="2020-12-28T16:16:49.36" personId="{06DEDB07-59D1-417E-83D0-6B7F6C6F5DD5}" id="{3851B3D5-D4A9-4FF4-9887-88628C9F7B4C}">
    <text>estimated from our egg regression database using T. scripta elegans (Dec 2020)</text>
  </threadedComment>
  <threadedComment ref="N882" dT="2020-08-04T15:51:05.36" personId="{9C2FB8A0-69AC-4C09-B3A4-DE31F95E4871}" id="{52C26DA6-6A69-4471-A530-A775C70016EC}">
    <text>estimated from BM-CL regression using Trachemys scripta from AR using Iverson, unpublished</text>
  </threadedComment>
  <threadedComment ref="N885" dT="2020-08-04T15:51:05.36" personId="{9C2FB8A0-69AC-4C09-B3A4-DE31F95E4871}" id="{72B6A7EB-292B-4528-ABD0-0749D4F85FB6}">
    <text>estimated from BM-CL regression using Trachemys scripta from AR using Iverson, unpublished</text>
  </threadedComment>
  <threadedComment ref="T885" dT="2020-07-08T19:04:43.84" personId="{9C2FB8A0-69AC-4C09-B3A4-DE31F95E4871}" id="{9948E9A8-226D-4A80-B7EA-90293376E5FB}">
    <text>estimated from egg data using Trachemys decorata (July 2020)</text>
  </threadedComment>
  <threadedComment ref="N886" dT="2020-08-04T15:51:05.36" personId="{9C2FB8A0-69AC-4C09-B3A4-DE31F95E4871}" id="{1B6DC303-C17F-4B9F-9659-1F2E116D423F}">
    <text>estimated from BM-CL regression using Trachemys scripta from AR using Iverson, unpublished</text>
  </threadedComment>
  <threadedComment ref="N887" dT="2020-08-04T15:51:05.36" personId="{9C2FB8A0-69AC-4C09-B3A4-DE31F95E4871}" id="{620859AA-2419-49B8-B83E-FD89983771FE}">
    <text>estimated from BM-CL regression using Trachemys scripta from AR using Iverson, unpublished</text>
  </threadedComment>
  <threadedComment ref="T888" dT="2020-07-08T19:14:33.32" personId="{9C2FB8A0-69AC-4C09-B3A4-DE31F95E4871}" id="{E3B02861-D571-4D67-803D-1BA3AB6ECB10}">
    <text>estimated from egg data using Trachemys call. chichiriviche (July 2020)</text>
  </threadedComment>
  <threadedComment ref="N889" dT="2020-08-04T15:51:05.36" personId="{9C2FB8A0-69AC-4C09-B3A4-DE31F95E4871}" id="{5E35011B-AA2C-4B8B-98F0-EB7E48FE0935}">
    <text>estimated from BM-CL regression using Trachemys scripta from AR using Iverson, unpublished</text>
  </threadedComment>
  <threadedComment ref="T889" dT="2020-07-08T19:14:33.32" personId="{9C2FB8A0-69AC-4C09-B3A4-DE31F95E4871}" id="{544F261B-BAA8-43FF-85C5-DC3571F8AD69}">
    <text>estimated from egg data using Trachemys call. chichiriviche (July 2020)</text>
  </threadedComment>
  <threadedComment ref="T890" dT="2020-10-12T12:33:26.72" personId="{9C2FB8A0-69AC-4C09-B3A4-DE31F95E4871}" id="{8A47DAE9-C794-4096-9230-83EA8BB5B6B4}">
    <text>estiamted from our egg data set for T. venusta (OCt 2020).</text>
  </threadedComment>
  <threadedComment ref="I891" dT="2020-07-14T01:25:12.86" personId="{9C2FB8A0-69AC-4C09-B3A4-DE31F95E4871}" id="{36B81F83-DB56-4004-A5E3-6A5C7FFA6A45}">
    <text>The deleted entries were -32.6 and -32.54</text>
  </threadedComment>
  <threadedComment ref="N892" dT="2020-08-04T15:51:05.36" personId="{9C2FB8A0-69AC-4C09-B3A4-DE31F95E4871}" id="{BE48173A-FD17-48B7-AF28-9E82C5D734B3}">
    <text>estimated from BM-CL regression using Trachemys scripta from AR using Iverson, unpublished</text>
  </threadedComment>
  <threadedComment ref="T892" dT="2020-07-08T19:14:33.32" personId="{9C2FB8A0-69AC-4C09-B3A4-DE31F95E4871}" id="{E7882F2F-8922-46DE-81F0-771FEC4B9680}">
    <text>estimated from egg data using Trachemys call. chichiriviche (July 2020)</text>
  </threadedComment>
  <threadedComment ref="N893" dT="2020-08-04T15:51:05.36" personId="{9C2FB8A0-69AC-4C09-B3A4-DE31F95E4871}" id="{3F8DFA2B-CFDC-4D32-AC84-A6AB31EABC5C}">
    <text>estimated from BM-CL regression using Trachemys scripta from AR using Iverson, unpublished</text>
  </threadedComment>
  <threadedComment ref="T893" dT="2020-07-08T19:14:33.32" personId="{9C2FB8A0-69AC-4C09-B3A4-DE31F95E4871}" id="{45A11243-401D-4537-A135-EE317D43EABF}">
    <text>estimated from egg data using Trachemys call. chichiriviche (July 2020)</text>
  </threadedComment>
  <threadedComment ref="N894" dT="2020-08-04T15:51:05.36" personId="{9C2FB8A0-69AC-4C09-B3A4-DE31F95E4871}" id="{FA064DFB-A6B2-4868-8548-0B0650CF5E54}">
    <text>estimated from BM-CL regression using Trachemys scripta from AR using Iverson, unpublished</text>
  </threadedComment>
  <threadedComment ref="T894" dT="2020-07-08T19:14:33.32" personId="{9C2FB8A0-69AC-4C09-B3A4-DE31F95E4871}" id="{19BBC231-A972-4F52-AC00-D171646E0885}">
    <text>estimated from egg data using Trachemys call. chichiriviche (July 2020)</text>
  </threadedComment>
  <threadedComment ref="M895" dT="2021-01-25T17:09:31.00" personId="{06DEDB07-59D1-417E-83D0-6B7F6C6F5DD5}" id="{1D2812A2-1777-4325-9054-3BA92A66B89C}">
    <text>estimated from 18.3-24.7 by taking the median</text>
  </threadedComment>
  <threadedComment ref="N895" dT="2020-09-23T12:49:57.89" personId="{9C2FB8A0-69AC-4C09-B3A4-DE31F95E4871}" id="{F8BF0A99-6ED9-4DFD-AF11-50B4407BB480}">
    <text>estimated from our BM-CL regression database using T. scripta from AR using Iverson unpub. (Sept 2020)</text>
  </threadedComment>
  <threadedComment ref="M898" dT="2020-09-08T15:16:21.59" personId="{9C2FB8A0-69AC-4C09-B3A4-DE31F95E4871}" id="{28428A07-E44D-432B-90CB-E1D2C24290BC}">
    <text>PL = 23.4; CL estimated from PL/CL ratio in Bager et al. (2010; Tropical Zoology 23: 181-194) (0.936)</text>
  </threadedComment>
  <threadedComment ref="N898" dT="2020-08-04T15:51:05.36" personId="{9C2FB8A0-69AC-4C09-B3A4-DE31F95E4871}" id="{C25C0ABD-59CF-4314-92D9-2F559457F622}">
    <text>estimated from BM-CL regression using Trachemys scripta from AR using Iverson, unpublished</text>
  </threadedComment>
  <threadedComment ref="N899" dT="2020-08-04T15:51:05.36" personId="{9C2FB8A0-69AC-4C09-B3A4-DE31F95E4871}" id="{AC9810AC-C773-4D44-980C-97C4F5E13C9F}">
    <text>estimated from BM-CL regression using Trachemys scripta from AR using Iverson, unpublished</text>
  </threadedComment>
  <threadedComment ref="N900" dT="2020-08-04T15:51:05.36" personId="{9C2FB8A0-69AC-4C09-B3A4-DE31F95E4871}" id="{38A408BD-A272-439F-9461-C7FEE899FCD2}">
    <text>estimated from BM-CL regression using Trachemys scripta from AR using Iverson, unpublished</text>
  </threadedComment>
  <threadedComment ref="T900" dT="2020-08-17T12:32:08.60" personId="{9C2FB8A0-69AC-4C09-B3A4-DE31F95E4871}" id="{2EAD8F81-2D16-4260-BC51-2B769103F26D}">
    <text>estimated from our egg dataset using T. scripta</text>
  </threadedComment>
  <threadedComment ref="T901" dT="2020-08-03T16:06:50.07" personId="{9C2FB8A0-69AC-4C09-B3A4-DE31F95E4871}" id="{090AB19C-B5D0-4882-BC2E-D14E63D99E5C}">
    <text>estimated from egg dataset using Trachemys scripta (AUgust 2020)</text>
  </threadedComment>
  <threadedComment ref="N902" dT="2020-08-04T15:51:05.36" personId="{9C2FB8A0-69AC-4C09-B3A4-DE31F95E4871}" id="{2FE3F821-F8A0-45FC-A38E-0FF90781526B}">
    <text>estimated from BM-CL regression using Trachemys scripta from AR using Iverson, unpublished</text>
  </threadedComment>
  <threadedComment ref="T902" dT="2020-10-12T13:22:52.87" personId="{9C2FB8A0-69AC-4C09-B3A4-DE31F95E4871}" id="{A627FBC5-38A2-4290-9483-6FD88813B856}">
    <text>11.33 g; estimated from egg regression database using T. scripta from Florida (oct 2020)</text>
  </threadedComment>
  <threadedComment ref="T904" dT="2020-08-03T16:06:50.07" personId="{9C2FB8A0-69AC-4C09-B3A4-DE31F95E4871}" id="{9B1824E6-214D-4F10-953C-5A407358C49A}">
    <text>estimated from egg dataset using Trachemys scripta (AUgust 2020)</text>
  </threadedComment>
  <threadedComment ref="N905" dT="2020-08-04T15:51:05.36" personId="{9C2FB8A0-69AC-4C09-B3A4-DE31F95E4871}" id="{CC551CAF-8D33-40DD-AA47-6E239BCAB44A}">
    <text>estimated from BM-CL regression using Trachemys scripta from AR using Iverson, unpublished</text>
  </threadedComment>
  <threadedComment ref="T905" dT="2020-08-03T16:06:50.07" personId="{9C2FB8A0-69AC-4C09-B3A4-DE31F95E4871}" id="{8F30D7F4-5763-448F-87F3-4AA7F6273BB6}">
    <text>estimated from egg dataset using Trachemys scripta (AUgust 2020)</text>
  </threadedComment>
  <threadedComment ref="N910" dT="2020-03-10T13:54:53.09" personId="{9C2FB8A0-69AC-4C09-B3A4-DE31F95E4871}" id="{580CB986-9638-460D-9837-F3521D2B16C8}">
    <text>Estimated from BM = 0.0958*CL^3.213 Iverson 1984</text>
  </threadedComment>
  <threadedComment ref="P911" dT="2021-01-28T19:48:16.95" personId="{06DEDB07-59D1-417E-83D0-6B7F6C6F5DD5}" id="{6A5B1ADB-061C-46FB-B637-80E564DD6A8A}">
    <text>N = 1</text>
  </threadedComment>
  <threadedComment ref="M915" dT="2020-09-08T15:17:09.98" personId="{9C2FB8A0-69AC-4C09-B3A4-DE31F95E4871}" id="{3F611F59-4D36-4F1D-B266-2D529203FCAD}">
    <text>PL = 17.64; CL estimated from PL/CL ratio in Lewis et al. 2018 (0.936)</text>
  </threadedComment>
  <threadedComment ref="N915" dT="2020-05-13T21:28:27.83" personId="{BB9FA97D-30F9-450E-953B-CAF857939ABE}" id="{45DB89D9-FB53-4C5A-95C3-B7A25A419623}">
    <text>estimated from BM = 0.0958*CL^3.213 Iverson (1984)</text>
  </threadedComment>
  <threadedComment ref="M916" dT="2020-09-08T15:16:52.66" personId="{9C2FB8A0-69AC-4C09-B3A4-DE31F95E4871}" id="{956090AF-C58C-4D02-9827-004BEE0A40F5}">
    <text>PL = 19.30; CL estimated from PL/CL ratio in Lewis et al. 2018 (0.936)</text>
  </threadedComment>
  <threadedComment ref="N916" dT="2020-05-13T21:28:27.83" personId="{BB9FA97D-30F9-450E-953B-CAF857939ABE}" id="{BFB37794-DF88-4688-944D-1EA7C803F808}">
    <text>estimated from BM = 0.0958*CL^3.213 Iverson (1984)</text>
  </threadedComment>
  <threadedComment ref="M917" dT="2020-09-08T15:16:42.08" personId="{9C2FB8A0-69AC-4C09-B3A4-DE31F95E4871}" id="{0983EF2D-B0FB-41DD-8897-0A7BFB44451B}">
    <text>PL = 20.87; CL estimated from PL/CL ratio in Lewis et al. 2018 (0.936)</text>
  </threadedComment>
  <threadedComment ref="N917" dT="2020-05-13T21:28:27.83" personId="{BB9FA97D-30F9-450E-953B-CAF857939ABE}" id="{C00EA42A-9923-40E2-9C51-5994BA12BE92}">
    <text>estimated from BM = 0.0958*CL^3.213 Iverson (1984)</text>
  </threadedComment>
  <threadedComment ref="M918" dT="2020-09-08T15:17:01.01" personId="{9C2FB8A0-69AC-4C09-B3A4-DE31F95E4871}" id="{E8C8E96F-943F-47E8-8B40-C3C72A167A42}">
    <text>PL = 23; CL estimated from PL/CL ratio in Lewis et al. 2018 (0.936)</text>
  </threadedComment>
  <threadedComment ref="N918" dT="2020-05-13T21:28:27.83" personId="{BB9FA97D-30F9-450E-953B-CAF857939ABE}" id="{36F581AC-E35F-44E1-A5D6-A6A216ECCF60}">
    <text>estimated from BM = 0.0958*CL^3.213 Iverson (1984)</text>
  </threadedComment>
  <threadedComment ref="M919" dT="2020-09-08T15:16:10.86" personId="{9C2FB8A0-69AC-4C09-B3A4-DE31F95E4871}" id="{C6F3F41B-C361-4629-A126-40F7B1398A8D}">
    <text>PL = 24.2; CL estimated from PL/CL ratio in Lewis et al. 2018 (0.936)</text>
  </threadedComment>
  <threadedComment ref="N919" dT="2020-05-13T21:28:27.83" personId="{BB9FA97D-30F9-450E-953B-CAF857939ABE}" id="{5532981C-BAAE-4654-8DB1-E2D90C35B0CD}">
    <text>estimated from BM = 0.0958*CL^3.213 Iverson (1984)</text>
  </threadedComment>
  <threadedComment ref="M920" dT="2020-09-08T15:16:21.59" personId="{9C2FB8A0-69AC-4C09-B3A4-DE31F95E4871}" id="{0C10DAA9-AD1E-4FBF-BBF1-6C89D2BA1073}">
    <text>PL = 26.4; CL estimated from PL/CL ratio in Lewis et al. 2018 (0.936)</text>
  </threadedComment>
  <threadedComment ref="N920" dT="2020-05-13T21:28:27.83" personId="{BB9FA97D-30F9-450E-953B-CAF857939ABE}" id="{59531FA4-A906-4F8F-BEFB-48BB1AF2B5D3}">
    <text>estimated from BM = 0.0958*CL^3.213 Iverson (1984)</text>
  </threadedComment>
  <threadedComment ref="M921" dT="2020-09-08T15:16:31.47" personId="{9C2FB8A0-69AC-4C09-B3A4-DE31F95E4871}" id="{DBBFA0CA-B2BB-42E4-B74F-727B3D50B089}">
    <text>PL = 19.44; CL estimated from PL/CL ratio in Lewis et al. 2018 (0.936)</text>
  </threadedComment>
  <threadedComment ref="N921" dT="2020-05-13T21:28:27.83" personId="{BB9FA97D-30F9-450E-953B-CAF857939ABE}" id="{4B3D5914-D57F-45BB-BEB7-CE4371893915}">
    <text>estimated from BM = 0.0958*CL^3.213 Iverson (1984)</text>
  </threadedComment>
  <threadedComment ref="N923" dT="2020-06-26T18:54:11.86" personId="{9C2FB8A0-69AC-4C09-B3A4-DE31F95E4871}" id="{46A34A95-599E-42A4-9A66-CA2FDF137774}">
    <text>Estimated from BM = 0.000520*CL^2.7474 in Lewis et al. 2018 unpublished</text>
  </threadedComment>
  <threadedComment ref="N924" dT="2020-05-13T21:28:27.83" personId="{BB9FA97D-30F9-450E-953B-CAF857939ABE}" id="{5A83CEFA-E534-4758-B287-635657200AB2}">
    <text>estimated from BM = 0.0958*CL^3.213 Iverson (1984)</text>
  </threadedComment>
  <threadedComment ref="M930" dT="2020-06-25T17:36:08.59" personId="{9C2FB8A0-69AC-4C09-B3A4-DE31F95E4871}" id="{8EC9B157-0AED-4AFF-B328-C8AF25D2CA7B}">
    <text>PL = 21.03; CL estimated from ratio in Lewis et al 2018 (HCB; 0.942)</text>
  </threadedComment>
  <threadedComment ref="V930" dT="2020-04-01T14:58:26.08" personId="{BB9FA97D-30F9-450E-953B-CAF857939ABE}" id="{F3DDEBA6-55B0-4123-901B-73A6F9557689}">
    <text>card has 108.8g</text>
  </threadedComment>
  <threadedComment ref="N932" dT="2020-08-04T15:51:05.36" personId="{9C2FB8A0-69AC-4C09-B3A4-DE31F95E4871}" id="{65C8E0E6-D8CA-46B0-9237-C239578F9B97}">
    <text>estimated from BM-CL regression using Trachemys scripta from Indiana from Lewis et al. 2018, unpublished</text>
  </threadedComment>
  <threadedComment ref="N934" dT="2020-03-10T13:54:53.09" personId="{9C2FB8A0-69AC-4C09-B3A4-DE31F95E4871}" id="{C6E2EDA8-50BF-49F2-BE69-1ADB649A5AC0}">
    <text>Estimated from BM = 0.0958*CL^3.213 Iverson 1984</text>
  </threadedComment>
  <threadedComment ref="T934" dT="2020-09-29T16:14:08.89" personId="{9C2FB8A0-69AC-4C09-B3A4-DE31F95E4871}" id="{9CD5DB1D-F12A-4881-B146-D220522205BE}">
    <text>from egg data table</text>
  </threadedComment>
  <threadedComment ref="M943" dT="2020-06-25T17:33:59.78" personId="{9C2FB8A0-69AC-4C09-B3A4-DE31F95E4871}" id="{D131373C-20F6-4022-9646-11F51F69DDB1}">
    <text>PL = 21.8; CL estimated from ratio in Lewis et al 2018 (HCB; 0.942)</text>
  </threadedComment>
  <threadedComment ref="N943" dT="2020-06-26T18:54:11.86" personId="{9C2FB8A0-69AC-4C09-B3A4-DE31F95E4871}" id="{8205B6F3-3A1C-4590-8BE2-19D964588A60}">
    <text>Estimated from BM = 0.000520*CL^2.7474 in Lewis et al. 2018 unpublished</text>
  </threadedComment>
  <threadedComment ref="S943" dT="2020-04-01T20:09:55.24" personId="{BB9FA97D-30F9-450E-953B-CAF857939ABE}" id="{48FA0BFD-A7E9-4EBE-AFC8-4E9BFDF0CF9B}">
    <text>estimated from y = 1.1007x - 13.94 Iverson Unpublished data</text>
  </threadedComment>
  <threadedComment ref="M947" dT="2020-06-25T17:34:58.02" personId="{9C2FB8A0-69AC-4C09-B3A4-DE31F95E4871}" id="{81A29C54-CB23-4598-9180-5D5239401BE7}">
    <text>PL = 21.37; CL estimated from ratio in Lewis et al 2018 (HCB; 0.942)</text>
  </threadedComment>
  <threadedComment ref="M949" dT="2020-06-25T17:35:07.03" personId="{9C2FB8A0-69AC-4C09-B3A4-DE31F95E4871}" id="{36F2C149-6443-482A-962E-1F81361454A1}">
    <text>PL = 20.9; CL estimated from ratio in Lewis et al 2018 (HCB; 0.942)</text>
  </threadedComment>
  <threadedComment ref="S949" dT="2020-04-01T20:09:55.24" personId="{BB9FA97D-30F9-450E-953B-CAF857939ABE}" id="{08CA58FD-F395-4756-BAD7-1229E5F20E6B}">
    <text>estimated from y = 1.1007x - 13.94 Iverson Unpublished data</text>
  </threadedComment>
  <threadedComment ref="M950" dT="2020-06-25T17:35:31.44" personId="{9C2FB8A0-69AC-4C09-B3A4-DE31F95E4871}" id="{8E952A22-8376-4D42-915C-FB3725C09F46}">
    <text>PL = 21.1; CL estimated from ratio in Lewis et al 2018 (HCB; 0.942)</text>
  </threadedComment>
  <threadedComment ref="S950" dT="2020-04-01T20:09:55.24" personId="{BB9FA97D-30F9-450E-953B-CAF857939ABE}" id="{305BFB1E-6C86-4DE4-99F5-02CBD118BFA7}">
    <text>estimated from y = 1.1007x - 13.94 Iverson Unpublished data</text>
  </threadedComment>
  <threadedComment ref="M951" dT="2020-06-25T17:35:14.64" personId="{9C2FB8A0-69AC-4C09-B3A4-DE31F95E4871}" id="{ED130491-C483-49C6-B15D-8481173D6CB3}">
    <text>PL = 21.4; CL estimated from ratio in Lewis et al 2018 (HCB; 0.942)</text>
  </threadedComment>
  <threadedComment ref="S951" dT="2020-04-01T20:09:55.24" personId="{BB9FA97D-30F9-450E-953B-CAF857939ABE}" id="{132C1C7E-A6A2-45F2-82B4-CAA32A784B4F}">
    <text>estimated from y = 1.1007x - 13.94 Iverson Unpublished data</text>
  </threadedComment>
  <threadedComment ref="M952" dT="2020-06-25T17:35:23.98" personId="{9C2FB8A0-69AC-4C09-B3A4-DE31F95E4871}" id="{43C557AE-1A13-4FDE-9ACB-504D2923CA64}">
    <text>PL = 21.6; CL estimated from ratio in Lewis et al 2018 (HCB; 0.942)</text>
  </threadedComment>
  <threadedComment ref="S952" dT="2020-04-01T20:09:55.24" personId="{BB9FA97D-30F9-450E-953B-CAF857939ABE}" id="{964E7C20-984A-409C-B2C0-4C667875D857}">
    <text>estimated from y = 1.1007x - 13.94 Iverson Unpublished data</text>
  </threadedComment>
  <threadedComment ref="M953" dT="2020-06-25T17:35:58.72" personId="{9C2FB8A0-69AC-4C09-B3A4-DE31F95E4871}" id="{B377F205-8E50-41B5-9A67-C43A7B8E4E31}">
    <text>PL = 21.27; CL estimated from ratio in Lewis et al 2018 (HCB; 0.942)</text>
  </threadedComment>
  <threadedComment ref="S953" dT="2020-04-01T20:09:55.24" personId="{BB9FA97D-30F9-450E-953B-CAF857939ABE}" id="{0186B4F4-C8A5-4FB6-841A-746DF22837ED}">
    <text>estimated from y = 1.1007x - 13.94 Iverson Unpublished data</text>
  </threadedComment>
  <threadedComment ref="M954" dT="2020-06-25T17:35:51.10" personId="{9C2FB8A0-69AC-4C09-B3A4-DE31F95E4871}" id="{5FF41A5B-B600-482C-96C0-10960E6FB69A}">
    <text>PL = 21.47; CL estimated from ratio in Lewis et al 2018 (HCB; 0.942)</text>
  </threadedComment>
  <threadedComment ref="S954" dT="2020-04-01T20:09:55.24" personId="{BB9FA97D-30F9-450E-953B-CAF857939ABE}" id="{AAFD3945-1840-4588-8471-982E0BCBF98C}">
    <text>estimated from y = 1.1007x - 13.94 Iverson Unpublished data</text>
  </threadedComment>
  <threadedComment ref="M955" dT="2020-06-25T17:35:42.43" personId="{9C2FB8A0-69AC-4C09-B3A4-DE31F95E4871}" id="{3F0FAF8B-1864-4E8A-AC26-2C09601449EB}">
    <text>PL = 21.37; CL estimated from ratio in Lewis et al 2018 (HCB; 0.942)</text>
  </threadedComment>
  <threadedComment ref="S955" dT="2020-04-01T20:09:55.24" personId="{BB9FA97D-30F9-450E-953B-CAF857939ABE}" id="{70E815BB-ED32-4B28-AB7B-609281D013D5}">
    <text>estimated from y = 1.1007x - 13.94 Iverson Unpublished data</text>
  </threadedComment>
  <threadedComment ref="N963" dT="2020-08-04T15:51:05.36" personId="{9C2FB8A0-69AC-4C09-B3A4-DE31F95E4871}" id="{39441A09-D5CF-491F-9CD2-CD80C57F92FA}">
    <text>estimated from BM-CL regression using Trachemys scripta from AR using Iverson, unpublished</text>
  </threadedComment>
  <threadedComment ref="T963" dT="2020-08-03T16:23:13.80" personId="{9C2FB8A0-69AC-4C09-B3A4-DE31F95E4871}" id="{FB21ECE5-BFB8-4536-AADB-309FDDF2A8AE}">
    <text>estiamted from Trachemys venusta from our egg database (August 2020)</text>
  </threadedComment>
  <threadedComment ref="N964" dT="2020-08-04T15:51:05.36" personId="{9C2FB8A0-69AC-4C09-B3A4-DE31F95E4871}" id="{6C3FD0A7-8039-4D81-8B71-72F70008E0A5}">
    <text>estimated from BM-CL regression using Trachemys scripta from AR using Iverson, unpublished</text>
  </threadedComment>
  <threadedComment ref="N966" dT="2020-08-04T15:51:05.36" personId="{9C2FB8A0-69AC-4C09-B3A4-DE31F95E4871}" id="{034A9B1B-AF71-44D6-93F5-240F215DFB0C}">
    <text>estimated from BM-CL regression using Trachemys scripta from AR using Iverson, unpublished</text>
  </threadedComment>
  <threadedComment ref="N967" dT="2020-08-04T15:51:05.36" personId="{9C2FB8A0-69AC-4C09-B3A4-DE31F95E4871}" id="{7068BC75-2486-425C-84CA-FBA21AF4DBBE}">
    <text>estimated from BM-CL regression using Trachemys scripta from AR using Iverson, unpublished</text>
  </threadedComment>
  <threadedComment ref="M968" dT="2020-04-01T15:02:12.85" personId="{BB9FA97D-30F9-450E-953B-CAF857939ABE}" id="{5975D92A-5CF1-4F0D-A1E3-9F16F2253F1E}">
    <text>mean calculated from Table 2 in publication</text>
  </threadedComment>
  <threadedComment ref="N968" dT="2020-08-04T15:51:05.36" personId="{9C2FB8A0-69AC-4C09-B3A4-DE31F95E4871}" id="{51070844-F3F0-4B4E-9FE6-38F2CF5FBF73}">
    <text>estimated from BM-CL regression using Trachemys scripta from AR using Iverson, unpublished</text>
  </threadedComment>
  <threadedComment ref="T968" dT="2020-09-28T14:20:13.50" personId="{9C2FB8A0-69AC-4C09-B3A4-DE31F95E4871}" id="{703A1EFC-8446-48A4-84FC-B4BF567CEA49}">
    <text>estimated from our egg regression database (Sept 2020)</text>
  </threadedComment>
  <threadedComment ref="I970" dT="2021-01-22T13:59:18.27" personId="{06DEDB07-59D1-417E-83D0-6B7F6C6F5DD5}" id="{F5E09A3A-9434-4D8E-8955-FF3496DF478D}">
    <text>Farm in Tabasco</text>
  </threadedComment>
  <threadedComment ref="M978" dT="2021-02-15T19:31:26.35" personId="{06DEDB07-59D1-417E-83D0-6B7F6C6F5DD5}" id="{518780C6-F205-4AAC-AE2D-CF94AA410B29}">
    <text>estimated from cross-population means for this geuns;</text>
  </threadedComment>
  <threadedComment ref="N982" dT="2021-01-22T14:02:35.22" personId="{06DEDB07-59D1-417E-83D0-6B7F6C6F5DD5}" id="{9216E5C9-FD5E-4D51-938C-688123F92361}">
    <text>Spent BM ~ 17900, BM is SBM + Clutch Mass = 19594</text>
  </threadedComment>
  <threadedComment ref="N985" dT="2020-09-11T14:52:47.57" personId="{9C2FB8A0-69AC-4C09-B3A4-DE31F95E4871}" id="{89602BE2-35BB-4ABB-AB0D-F7AE4A4B02BA}">
    <text>estimated from BM-CL regressions using B. affinis using Moll 1980 (Sept 2020)</text>
  </threadedComment>
  <threadedComment ref="P985" dT="2021-01-28T19:40:58.51" personId="{06DEDB07-59D1-417E-83D0-6B7F6C6F5DD5}" id="{0086A312-2487-4A90-A5E8-8DAA9A20809D}">
    <text>N = 1</text>
  </threadedComment>
  <threadedComment ref="M989" dT="2021-02-15T19:34:51.19" personId="{06DEDB07-59D1-417E-83D0-6B7F6C6F5DD5}" id="{25EC9832-9983-46AA-9DC9-474BF420F327}">
    <text>CCL = 48.1; estimated SCL from interspecies regression in our table</text>
  </threadedComment>
  <threadedComment ref="N990" dT="2020-06-26T18:55:41.98" personId="{9C2FB8A0-69AC-4C09-B3A4-DE31F95E4871}" id="{D6697663-FA14-4C0B-843E-2D9D08B407D4}">
    <text>Estimated from BM = 0.10146*CL^3.0496 in Batagur affinis Moll 1980</text>
  </threadedComment>
  <threadedComment ref="N991" dT="2020-07-13T12:19:53.98" personId="{9C2FB8A0-69AC-4C09-B3A4-DE31F95E4871}" id="{096BD64F-AD8A-4098-A7DC-BC969307A618}">
    <text>Spent BM = 16800, cell value is SBM + Clutch Mass.</text>
  </threadedComment>
  <threadedComment ref="N993" dT="2020-07-10T11:40:26.74" personId="{9C2FB8A0-69AC-4C09-B3A4-DE31F95E4871}" id="{CDC451C6-93D3-4BEF-97FC-6BF025A3DCB2}">
    <text>Spent BM = 7270, cell value is SBM + Clutch Mass.</text>
  </threadedComment>
  <threadedComment ref="I994" dT="2020-12-29T17:29:48.31" personId="{06DEDB07-59D1-417E-83D0-6B7F6C6F5DD5}" id="{A149CF28-1F56-452A-A1E8-4FACC5265AF9}">
    <text>multiple sites along one drainage.</text>
  </threadedComment>
  <threadedComment ref="N994" dT="2020-06-26T18:55:41.98" personId="{9C2FB8A0-69AC-4C09-B3A4-DE31F95E4871}" id="{49AC3728-D181-4912-AE31-AC6A4B067511}">
    <text>Estimated from BM = 0.10146*CL^3.0496 in Rom Whitaker, pers. communication</text>
  </threadedComment>
  <threadedComment ref="N1001" dT="2020-07-10T11:42:55.96" personId="{9C2FB8A0-69AC-4C09-B3A4-DE31F95E4871}" id="{541C687E-1E02-48D6-89A4-D3C85E2CDD91}">
    <text>Spent BM = 21100, cell value is SBM + Clutch Mass.</text>
  </threadedComment>
  <threadedComment ref="I1002" dT="2020-12-29T17:29:48.31" personId="{06DEDB07-59D1-417E-83D0-6B7F6C6F5DD5}" id="{1222C8C7-FD8E-42A2-91FD-72888A89922E}">
    <text>multiple sites along one drainage.</text>
  </threadedComment>
  <threadedComment ref="N1002" dT="2020-06-26T18:55:41.98" personId="{9C2FB8A0-69AC-4C09-B3A4-DE31F95E4871}" id="{A7E37FC1-45B8-4EFC-82E6-477081BF9902}">
    <text>Estimated from BM = 0.10146*CL^3.0496 in Batagur affinis from Moll 1980</text>
  </threadedComment>
  <threadedComment ref="I1004" dT="2021-01-21T17:38:41.26" personId="{06DEDB07-59D1-417E-83D0-6B7F6C6F5DD5}" id="{65F68F45-C45D-47EE-ADF4-B16330FC5051}">
    <text>estimated ca. 26</text>
  </threadedComment>
  <threadedComment ref="I1010" dT="2021-01-21T17:38:56.65" personId="{06DEDB07-59D1-417E-83D0-6B7F6C6F5DD5}" id="{C6FA7EB1-21A1-46C4-B53C-1A54E7982747}">
    <text>estimated ca. 22</text>
  </threadedComment>
  <threadedComment ref="M1010" dT="2021-01-27T13:44:57.84" personId="{06DEDB07-59D1-417E-83D0-6B7F6C6F5DD5}" id="{9E40BADD-238F-4A22-8C65-A942384C6957}">
    <text>data for two females CL (51.5 and 45.0) and BM (22900 and 13250). We took the mean value</text>
  </threadedComment>
  <threadedComment ref="N1010" dT="2021-01-27T13:46:04.24" personId="{06DEDB07-59D1-417E-83D0-6B7F6C6F5DD5}" id="{21E28629-4DD1-4031-B1FE-E19FEC2BEF1D}">
    <text>data for two females CL (51.5 and 45.0) and BM (22900 and 13250). We took the mean value</text>
  </threadedComment>
  <threadedComment ref="N1011" dT="2021-02-15T19:36:35.10" personId="{06DEDB07-59D1-417E-83D0-6B7F6C6F5DD5}" id="{9128AD59-BBF9-48C9-BF5F-8AE3B0475F7B}">
    <text>estimated from cross-population means from genus</text>
  </threadedComment>
  <threadedComment ref="N1013" dT="2021-02-15T19:36:38.43" personId="{06DEDB07-59D1-417E-83D0-6B7F6C6F5DD5}" id="{8295F3A9-CCF5-4512-B7AF-924F022B1061}">
    <text>estimated from cross-population means from genus</text>
  </threadedComment>
  <threadedComment ref="N1014" dT="2020-03-10T13:55:58.79" personId="{9C2FB8A0-69AC-4C09-B3A4-DE31F95E4871}" id="{469CDE2E-2281-4547-B59B-6B7026E3EA8B}">
    <text>Estimated from BM = 3.12176*CL^2.0494 Paul Crow pers communication</text>
  </threadedComment>
  <threadedComment ref="N1018" dT="2020-03-10T13:55:58.79" personId="{9C2FB8A0-69AC-4C09-B3A4-DE31F95E4871}" id="{B85495DF-A491-4603-9E70-600042B58DF9}">
    <text>Estimated from BM = 3.12176*CL^2.0494 Paul Crow pers communication</text>
  </threadedComment>
  <threadedComment ref="T1018" dT="2020-08-03T16:36:41.96" personId="{9C2FB8A0-69AC-4C09-B3A4-DE31F95E4871}" id="{F1863A38-6DF3-4320-9779-7AF63C8DA302}">
    <text>estimated from egg dataset (Aug 2020)</text>
  </threadedComment>
  <threadedComment ref="F1019" dT="2021-03-15T14:44:08.23" personId="{06DEDB07-59D1-417E-83D0-6B7F6C6F5DD5}" id="{9081F21A-7B36-4436-A4ED-C55A737CD32D}">
    <text>China</text>
  </threadedComment>
  <threadedComment ref="N1019" dT="2020-03-10T13:55:58.79" personId="{9C2FB8A0-69AC-4C09-B3A4-DE31F95E4871}" id="{D70ED845-978C-4D7B-BCA9-E0AD11227ADE}">
    <text>Estimated from BM = 3.12176*CL^2.0494 Paul Crow pers communication</text>
  </threadedComment>
  <threadedComment ref="N1023" dT="2020-07-10T11:44:28.09" personId="{9C2FB8A0-69AC-4C09-B3A4-DE31F95E4871}" id="{6BF43BFB-8F05-4BF4-9E89-E0AA8E6424A1}">
    <text>Spent BM = 1000, cell value is SBM + Clutch Mass.</text>
  </threadedComment>
  <threadedComment ref="N1025" dT="2020-03-10T13:55:58.79" personId="{9C2FB8A0-69AC-4C09-B3A4-DE31F95E4871}" id="{D33522D2-C69B-4290-A183-A7E887DA13AA}">
    <text>Estimated from BM = 3.12176*CL^2.0494 Paul Crow pers communication</text>
  </threadedComment>
  <threadedComment ref="N1034" dT="2021-02-03T15:34:42.44" personId="{06DEDB07-59D1-417E-83D0-6B7F6C6F5DD5}" id="{25772411-6E4A-45CD-9695-E972AA4961F6}">
    <text>estimated from BM-CL regression database using Artner 2006</text>
  </threadedComment>
  <threadedComment ref="T1041" dT="2021-01-25T17:45:02.90" personId="{06DEDB07-59D1-417E-83D0-6B7F6C6F5DD5}" id="{D723C883-95FC-485B-B747-D297417C425B}">
    <text>estimated from 25-30 by taking median</text>
  </threadedComment>
  <threadedComment ref="T1042" dT="2021-01-25T17:45:02.90" personId="{06DEDB07-59D1-417E-83D0-6B7F6C6F5DD5}" id="{226C0105-DE6E-4246-B70A-57B386C3B51B}">
    <text>estimated from 25-30 by taking median</text>
  </threadedComment>
  <threadedComment ref="R1048" dT="2020-12-28T15:43:26.95" personId="{06DEDB07-59D1-417E-83D0-6B7F6C6F5DD5}" id="{9706DC79-9D0D-4600-B925-E7FA8F849358}">
    <text>reported 41-53</text>
  </threadedComment>
  <threadedComment ref="S1048" dT="2020-12-28T15:43:09.86" personId="{06DEDB07-59D1-417E-83D0-6B7F6C6F5DD5}" id="{36DB25C4-DC8B-444C-92E5-92D7FA67BD13}">
    <text>reported 20-27</text>
  </threadedComment>
  <threadedComment ref="F1049" dT="2021-03-15T14:44:08.23" personId="{06DEDB07-59D1-417E-83D0-6B7F6C6F5DD5}" id="{C50B2801-B4DC-42EF-9F11-5453BE1030CC}">
    <text>China</text>
  </threadedComment>
  <threadedComment ref="M1050" dT="2021-02-03T15:42:58.78" personId="{06DEDB07-59D1-417E-83D0-6B7F6C6F5DD5}" id="{09C807D8-613F-4598-9E2E-FB33800E07F1}">
    <text>estimated from our BM-CL regression database using Cuora amboinensis (Paul Crow pers. com)</text>
  </threadedComment>
  <threadedComment ref="N1057" dT="2021-02-03T15:42:45.99" personId="{06DEDB07-59D1-417E-83D0-6B7F6C6F5DD5}" id="{07568BC8-B794-463E-AE07-551A4A3528A3}">
    <text>estimated from our BM-CL regression database using Cuora amboinensis (Paul Crow pers. com)</text>
  </threadedComment>
  <threadedComment ref="N1058" dT="2021-02-03T15:42:45.99" personId="{06DEDB07-59D1-417E-83D0-6B7F6C6F5DD5}" id="{BB4153E7-5ACF-4F62-88FC-0FF491FE0017}">
    <text>estimated from our BM-CL regression database using Cuora amboinensis (Paul Crow pers. com)</text>
  </threadedComment>
  <threadedComment ref="M1059" dT="2021-02-03T15:42:58.78" personId="{06DEDB07-59D1-417E-83D0-6B7F6C6F5DD5}" id="{6D42E4DF-4215-4768-9549-16DB115BBFDB}">
    <text>estimated from our BM-CL regression database using Cuora amboinensis (Paul Crow pers. com)</text>
  </threadedComment>
  <threadedComment ref="N1059" dT="2021-01-25T17:11:27.84" personId="{06DEDB07-59D1-417E-83D0-6B7F6C6F5DD5}" id="{15D55866-2F52-44D9-A881-C9D5340BA680}">
    <text>estimated ca. 500</text>
  </threadedComment>
  <threadedComment ref="R1059" dT="2021-01-25T17:24:03.99" personId="{06DEDB07-59D1-417E-83D0-6B7F6C6F5DD5}" id="{9B8A614F-5E9C-42A7-A653-B65C7E40741D}">
    <text>estimated from 42-47 by taking median</text>
  </threadedComment>
  <threadedComment ref="T1059" dT="2021-01-25T17:47:18.18" personId="{06DEDB07-59D1-417E-83D0-6B7F6C6F5DD5}" id="{6E3A7C3F-7084-43A6-AD10-7120950D2BA2}">
    <text>estimated from 8.5-20 by taking median</text>
  </threadedComment>
  <threadedComment ref="T1060" dT="2020-06-04T15:26:16.41" personId="{BB9FA97D-30F9-450E-953B-CAF857939ABE}" id="{D51EE103-2E54-4A62-98CB-852EAEC1D71B}">
    <text>estimated from egg dataset.</text>
  </threadedComment>
  <threadedComment ref="I1065" dT="2021-01-21T17:39:58.92" personId="{06DEDB07-59D1-417E-83D0-6B7F6C6F5DD5}" id="{A036B23E-CB87-46E6-A910-ABC90F4D23D9}">
    <text>estimated ca. 25</text>
  </threadedComment>
  <threadedComment ref="M1068" dT="2020-05-25T23:32:56.62" personId="{BB9FA97D-30F9-450E-953B-CAF857939ABE}" id="{5E214665-4484-4518-92B1-6E5C78510A60}">
    <text>"PL = 17.5; CL estimated from PL/CL ratio in McCord and Iverson 1992."</text>
  </threadedComment>
  <threadedComment ref="M1069" dT="2020-05-25T23:32:56.62" personId="{BB9FA97D-30F9-450E-953B-CAF857939ABE}" id="{00EA78E5-BBCD-4254-BB9E-0F833800C6A5}">
    <text>"PL = 17.5; CL estimated from PL/CL ratio in McCord and Iverson 1992."</text>
  </threadedComment>
  <threadedComment ref="T1071" dT="2020-10-12T13:25:57.33" personId="{9C2FB8A0-69AC-4C09-B3A4-DE31F95E4871}" id="{538E5A81-03D8-4F5E-B394-A3ECEAD8ECA2}">
    <text>estimated from egg regression database (Oct 2020)</text>
  </threadedComment>
  <threadedComment ref="N1081" dT="2020-07-20T13:40:41.67" personId="{9C2FB8A0-69AC-4C09-B3A4-DE31F95E4871}" id="{D44757BA-7A09-4045-8266-2800CED7B113}">
    <text>estiamted from regressions from Cuora amboinensis using Paul Crow pers. communication</text>
  </threadedComment>
  <threadedComment ref="T1081" dT="2020-08-03T16:39:00.73" personId="{9C2FB8A0-69AC-4C09-B3A4-DE31F95E4871}" id="{CDA007D2-1908-40D0-AFAD-0C6D071FDA52}">
    <text>estimated from egg data using M. mutica (Aug 2020)</text>
  </threadedComment>
  <threadedComment ref="T1082" dT="2020-08-03T16:39:00.73" personId="{9C2FB8A0-69AC-4C09-B3A4-DE31F95E4871}" id="{194DBE2C-0DEC-43E0-822B-00076559CFCD}">
    <text>estimated from egg data using M. mutica (Aug 2020)</text>
  </threadedComment>
  <threadedComment ref="R1085" dT="2020-12-28T14:57:25.18" personId="{06DEDB07-59D1-417E-83D0-6B7F6C6F5DD5}" id="{2F2A4888-3486-423B-8844-3D1D514C7FC0}">
    <text>reported 39-46.3</text>
  </threadedComment>
  <threadedComment ref="S1085" dT="2020-12-28T14:57:37.93" personId="{06DEDB07-59D1-417E-83D0-6B7F6C6F5DD5}" id="{2EE20B5C-7E12-4BDE-922A-93EC2AD6DA88}">
    <text>reported24.4-26.9</text>
  </threadedComment>
  <threadedComment ref="T1085" dT="2020-12-28T14:57:49.05" personId="{06DEDB07-59D1-417E-83D0-6B7F6C6F5DD5}" id="{3D846E5B-2CC3-4226-A814-D91915CB27A8}">
    <text>reported 15.6-17.2</text>
  </threadedComment>
  <threadedComment ref="I1087" dT="2021-01-21T17:40:46.05" personId="{06DEDB07-59D1-417E-83D0-6B7F6C6F5DD5}" id="{013CA357-B7D5-4F1F-A700-B0344549424D}">
    <text>estimated ca. 22</text>
  </threadedComment>
  <threadedComment ref="T1089" dT="2020-04-01T19:46:04.12" personId="{BB9FA97D-30F9-450E-953B-CAF857939ABE}" id="{82695092-8C4D-4F5F-AB5C-60331E6FDCC6}">
    <text>estimated from EM = 0.115EL + 0.800EW - 10.217 Iverson unpublished "Mauremys mouhotii"</text>
  </threadedComment>
  <threadedComment ref="M1091" dT="2020-03-11T17:35:20.83" personId="{9C2FB8A0-69AC-4C09-B3A4-DE31F95E4871}" id="{E7633CFA-D5BA-4418-828F-88D8B7AB9BC6}">
    <text>Females only</text>
  </threadedComment>
  <threadedComment ref="R1094" dT="2020-12-28T14:58:20.77" personId="{06DEDB07-59D1-417E-83D0-6B7F6C6F5DD5}" id="{73600B03-85E3-4A05-BA2B-52DEF80F1F8E}">
    <text>reported 51-56</text>
  </threadedComment>
  <threadedComment ref="S1094" dT="2020-12-28T14:58:28.06" personId="{06DEDB07-59D1-417E-83D0-6B7F6C6F5DD5}" id="{019B6439-0302-4D0B-AA0F-683A753272AB}">
    <text>reported 25-27</text>
  </threadedComment>
  <threadedComment ref="T1094" dT="2020-04-01T19:46:04.12" personId="{BB9FA97D-30F9-450E-953B-CAF857939ABE}" id="{69A4A2EF-1F6A-4F8E-A2B7-0CAC2CD18E41}">
    <text>estimated from EM = 0.115EL + 0.800EW - 10.217 Iverson unpublished "Mauremys mouhotii"</text>
  </threadedComment>
  <threadedComment ref="N1098" dT="2020-04-01T18:01:08.04" personId="{BB9FA97D-30F9-450E-953B-CAF857939ABE}" id="{6A839641-493F-42B7-A151-21219774EF43}">
    <text>estimated from BM = 0.0000008819*CL^4.0004 via Arnter 2006</text>
  </threadedComment>
  <threadedComment ref="N1100" dT="2020-04-01T18:01:08.04" personId="{BB9FA97D-30F9-450E-953B-CAF857939ABE}" id="{AA71D19B-FB40-47C2-AE4C-C08E87C4CBA3}">
    <text>estimated from BM = 0.0000008819*CL^4.0004 via Arnter 2006</text>
  </threadedComment>
  <threadedComment ref="M1101" dT="2021-01-25T17:08:12.44" personId="{06DEDB07-59D1-417E-83D0-6B7F6C6F5DD5}" id="{DFA1A2AE-1F12-48FE-809A-4B596D7A0AD1}">
    <text>estimated from 12-17.2 by taking the median</text>
  </threadedComment>
  <threadedComment ref="N1101" dT="2021-02-15T19:38:33.25" personId="{06DEDB07-59D1-417E-83D0-6B7F6C6F5DD5}" id="{2D943FEE-6601-4553-A4C4-47693B5F14BA}">
    <text>up to 670</text>
  </threadedComment>
  <threadedComment ref="S1103" dT="2020-08-28T18:24:30.39" personId="{9C2FB8A0-69AC-4C09-B3A4-DE31F95E4871}" id="{7C909874-5C63-4264-AA1A-BC596A532D2A}">
    <text>estimated from regressions from our egg database using Cuora galbinifrons</text>
  </threadedComment>
  <threadedComment ref="P1105" dT="2021-03-01T17:15:17.66" personId="{06DEDB07-59D1-417E-83D0-6B7F6C6F5DD5}" id="{3D51090E-EBAC-4BD9-A254-1034E9EE5145}">
    <text>sometimes 2</text>
  </threadedComment>
  <threadedComment ref="R1108" dT="2020-12-28T14:59:57.75" personId="{06DEDB07-59D1-417E-83D0-6B7F6C6F5DD5}" id="{141AC981-B7B8-4BD9-8C2A-D7C13D9DB2B1}">
    <text>reported 45-61</text>
  </threadedComment>
  <threadedComment ref="S1108" dT="2020-12-28T15:00:09.20" personId="{06DEDB07-59D1-417E-83D0-6B7F6C6F5DD5}" id="{A3E82910-6DF0-4802-B469-975128A5DB51}">
    <text>reported 25-29</text>
  </threadedComment>
  <threadedComment ref="T1108" dT="2020-12-28T15:06:40.73" personId="{06DEDB07-59D1-417E-83D0-6B7F6C6F5DD5}" id="{74BAA175-5FCB-499A-924B-A521CF74202F}">
    <text>estimated from egg database using M. trijuga (Dec 2020)</text>
  </threadedComment>
  <threadedComment ref="I1109" dT="2021-01-21T17:44:07.67" personId="{06DEDB07-59D1-417E-83D0-6B7F6C6F5DD5}" id="{FA202D91-9ADD-4E1E-8F98-77D80F213C97}">
    <text>estimated ca. 23</text>
  </threadedComment>
  <threadedComment ref="N1110" dT="2020-04-01T18:01:08.04" personId="{BB9FA97D-30F9-450E-953B-CAF857939ABE}" id="{EFE20A47-B197-425F-AA89-E0AFDD9DFDEB}">
    <text>estimated from BM-CL regression dataset using C. pani from Artner 2006</text>
  </threadedComment>
  <threadedComment ref="R1111" dT="2020-12-28T15:00:27.31" personId="{06DEDB07-59D1-417E-83D0-6B7F6C6F5DD5}" id="{D5624662-A1D8-41FE-A850-3F8D86110AC2}">
    <text>report 48-50</text>
  </threadedComment>
  <threadedComment ref="S1111" dT="2020-12-28T15:00:40.81" personId="{06DEDB07-59D1-417E-83D0-6B7F6C6F5DD5}" id="{145568AC-275C-485E-8BBB-B4C6C7D8789D}">
    <text>reported 26-27</text>
  </threadedComment>
  <threadedComment ref="I1113" dT="2021-01-21T17:44:22.83" personId="{06DEDB07-59D1-417E-83D0-6B7F6C6F5DD5}" id="{C9AA4DF4-54FD-4E38-8E85-6AD23612D998}">
    <text>estimated ca. 12</text>
  </threadedComment>
  <threadedComment ref="T1115" dT="2020-08-03T16:54:07.62" personId="{9C2FB8A0-69AC-4C09-B3A4-DE31F95E4871}" id="{EFCDE58D-3D55-40F6-9499-50FF91AF6B5D}">
    <text>estimated from egg data using Cuora flavomarginata (Aug 2020)</text>
  </threadedComment>
  <threadedComment ref="N1116" dT="2020-04-01T18:01:08.04" personId="{BB9FA97D-30F9-450E-953B-CAF857939ABE}" id="{B6CFF186-C14A-4B13-A18E-57E38E89A063}">
    <text>estimated from BM-CL regression dataset using C. pani from Artner 2006</text>
  </threadedComment>
  <threadedComment ref="T1116" dT="2020-08-03T16:54:07.62" personId="{9C2FB8A0-69AC-4C09-B3A4-DE31F95E4871}" id="{B40EED90-FDB1-46E8-B95C-E59ACD24E116}">
    <text>estimated from egg data using Cuora flavomarginata (Aug 2020)</text>
  </threadedComment>
  <threadedComment ref="R1117" dT="2020-12-28T15:01:02.02" personId="{06DEDB07-59D1-417E-83D0-6B7F6C6F5DD5}" id="{A7291686-9713-495B-8522-00805E27BBF1}">
    <text>reported 40.6-49.6</text>
  </threadedComment>
  <threadedComment ref="S1117" dT="2020-12-28T15:01:23.12" personId="{06DEDB07-59D1-417E-83D0-6B7F6C6F5DD5}" id="{266B783F-9639-43B9-A086-87910625640E}">
    <text>reported 22.8-23.1</text>
  </threadedComment>
  <threadedComment ref="T1117" dT="2020-12-28T15:01:38.47" personId="{06DEDB07-59D1-417E-83D0-6B7F6C6F5DD5}" id="{3DCB3F55-94BE-4A75-A0C9-84DF517AF2F6}">
    <text>reported 11-16</text>
  </threadedComment>
  <threadedComment ref="N1119" dT="2020-10-16T13:50:43.51" personId="{9C2FB8A0-69AC-4C09-B3A4-DE31F95E4871}" id="{3117D771-4C40-4A96-A444-7E0502364FE1}">
    <text>estimated from BM-CL regression database using C. oldhamii (Oct 2020)</text>
  </threadedComment>
  <threadedComment ref="N1123" dT="2020-10-16T13:50:43.51" personId="{9C2FB8A0-69AC-4C09-B3A4-DE31F95E4871}" id="{2F147020-44D4-4874-8DF5-318127BB8492}">
    <text>estimated from BM-CL regression database using C. oldhamii (Oct 2020)</text>
  </threadedComment>
  <threadedComment ref="D1124" dT="2021-01-08T15:49:55.10" personId="{06DEDB07-59D1-417E-83D0-6B7F6C6F5DD5}" id="{8A28A298-F83C-43C3-8D02-20BC12EAB449}">
    <text>questionable species</text>
  </threadedComment>
  <threadedComment ref="P1124" dT="2021-03-01T17:16:45.99" personId="{06DEDB07-59D1-417E-83D0-6B7F6C6F5DD5}" id="{DBA44A56-B540-4ACF-94A0-7FE345BF8A16}">
    <text>up to 4</text>
  </threadedComment>
  <threadedComment ref="N1125" dT="2020-07-10T11:45:34.60" personId="{9C2FB8A0-69AC-4C09-B3A4-DE31F95E4871}" id="{4CFD1A76-F265-4982-8404-1B56CEABB8C5}">
    <text>Spent BM = 1250, cell value is SBM + Clutch Mass.</text>
  </threadedComment>
  <threadedComment ref="N1127" dT="2020-10-16T13:50:43.51" personId="{9C2FB8A0-69AC-4C09-B3A4-DE31F95E4871}" id="{462A1AF2-A545-420F-A1DE-54154B8A5905}">
    <text>estimated from BM-CL regression database using C. oldhamii (Oct 2020)</text>
  </threadedComment>
  <threadedComment ref="R1128" dT="2020-12-28T15:44:05.20" personId="{06DEDB07-59D1-417E-83D0-6B7F6C6F5DD5}" id="{FCA04934-B234-4475-9C35-58E8010529C7}">
    <text>reported 52-57</text>
  </threadedComment>
  <threadedComment ref="S1128" dT="2020-12-28T15:43:47.27" personId="{06DEDB07-59D1-417E-83D0-6B7F6C6F5DD5}" id="{122D1F56-05A1-4833-B495-88973BA7552A}">
    <text>reported 27-30</text>
  </threadedComment>
  <threadedComment ref="N1130" dT="2020-10-16T13:50:43.51" personId="{9C2FB8A0-69AC-4C09-B3A4-DE31F95E4871}" id="{76F5B77C-84BF-44E6-8347-F53C38279E59}">
    <text>estimated from BM-CL regression database using C. oldhamii (Oct 2020)</text>
  </threadedComment>
  <threadedComment ref="I1131" dT="2021-01-21T17:44:51.03" personId="{06DEDB07-59D1-417E-83D0-6B7F6C6F5DD5}" id="{B0F4E7E9-8779-4817-854E-736165E1D5ED}">
    <text>estimated ca. 15</text>
  </threadedComment>
  <threadedComment ref="N1131" dT="2020-10-16T13:50:43.51" personId="{9C2FB8A0-69AC-4C09-B3A4-DE31F95E4871}" id="{A356765D-3D5B-43C3-8ED6-0C22BAC2505D}">
    <text>estimated from BM-CL regression database using C. oldhamii (Oct 2020)</text>
  </threadedComment>
  <threadedComment ref="T1131" dT="2020-10-16T13:48:36.77" personId="{9C2FB8A0-69AC-4C09-B3A4-DE31F95E4871}" id="{8BFC1799-E2E9-487D-8C1E-E82B3AC9AFDE}">
    <text>estimated from egg regression database using R. areolata (OCt 2020)</text>
  </threadedComment>
  <threadedComment ref="P1132" dT="2020-10-16T13:24:08.67" personId="{9C2FB8A0-69AC-4C09-B3A4-DE31F95E4871}" id="{2F7228AB-C291-4D4E-A878-9907EAF346DC}">
    <text>author reported range 2-4</text>
  </threadedComment>
  <threadedComment ref="N1133" dT="2020-10-16T13:50:43.51" personId="{9C2FB8A0-69AC-4C09-B3A4-DE31F95E4871}" id="{5019BEBB-8264-4192-BBF1-4F8DE6DCD039}">
    <text>estimated from BM-CL regression database using C. oldhamii (Oct 2020)</text>
  </threadedComment>
  <threadedComment ref="T1134" dT="2020-12-28T15:58:14.62" personId="{06DEDB07-59D1-417E-83D0-6B7F6C6F5DD5}" id="{4EC77535-ABCF-4689-BC5A-DE752FC86407}">
    <text>estimated from our egg regression database using Rhinoclemmys areolata (DEC 2020)</text>
  </threadedComment>
  <threadedComment ref="N1138" dT="2021-02-15T19:25:07.91" personId="{06DEDB07-59D1-417E-83D0-6B7F6C6F5DD5}" id="{6619F70F-E730-466D-A4F2-C93CA3CA2F78}">
    <text>estimated from cross-population means for this species</text>
  </threadedComment>
  <threadedComment ref="P1138" dT="2021-01-28T19:42:48.60" personId="{06DEDB07-59D1-417E-83D0-6B7F6C6F5DD5}" id="{0F4FEF61-F764-45BE-B022-BF6561E2DC4F}">
    <text>N = 1</text>
  </threadedComment>
  <threadedComment ref="I1141" dT="2021-01-21T17:45:09.18" personId="{06DEDB07-59D1-417E-83D0-6B7F6C6F5DD5}" id="{C0DD8506-B2A9-48B7-B522-C2B3735DE9FE}">
    <text>estimated ca. 24</text>
  </threadedComment>
  <threadedComment ref="N1142" dT="2021-02-15T19:25:07.91" personId="{06DEDB07-59D1-417E-83D0-6B7F6C6F5DD5}" id="{6DAE2519-D5CC-445D-8BC7-67E43EBB850B}">
    <text>estimated from cross-population means for this species</text>
  </threadedComment>
  <threadedComment ref="N1143" dT="2021-02-15T19:21:45.68" personId="{06DEDB07-59D1-417E-83D0-6B7F6C6F5DD5}" id="{C0BD3CB6-DFD1-4F66-8698-04956BA1699A}">
    <text>estimated from cross-population means for this species</text>
  </threadedComment>
  <threadedComment ref="N1144" dT="2021-02-15T19:22:38.91" personId="{06DEDB07-59D1-417E-83D0-6B7F6C6F5DD5}" id="{2D9E1B21-E97D-4989-AB5F-8A9DE5524789}">
    <text>estimated from cross-population means for this genus</text>
  </threadedComment>
  <threadedComment ref="N1145" dT="2021-02-15T19:23:04.13" personId="{06DEDB07-59D1-417E-83D0-6B7F6C6F5DD5}" id="{73E9892D-7A72-4942-9748-B34D1310EF07}">
    <text>estimated from cross-population means for this genus</text>
  </threadedComment>
  <threadedComment ref="T1150" dT="2020-08-28T18:27:32.18" personId="{9C2FB8A0-69AC-4C09-B3A4-DE31F95E4871}" id="{F2C3E9DA-088D-46BC-9C9C-36CF5CA68259}">
    <text>estimated using regressions from our egg database using Mauremys sinensis</text>
  </threadedComment>
  <threadedComment ref="T1151" dT="2020-08-28T18:27:32.18" personId="{9C2FB8A0-69AC-4C09-B3A4-DE31F95E4871}" id="{CF83E327-9A6F-4C37-AB40-828F01A250DA}">
    <text>estimated using regressions from our egg database using Mauremys sinensis</text>
  </threadedComment>
  <threadedComment ref="T1153" dT="2020-08-28T18:27:32.18" personId="{9C2FB8A0-69AC-4C09-B3A4-DE31F95E4871}" id="{7D932FE4-C7EA-4DD5-9CCF-9E6910797F16}">
    <text>estimated using regressions from our egg database using Mauremys sinensis</text>
  </threadedComment>
  <threadedComment ref="M1154" dT="2020-07-09T18:45:39.91" personId="{9C2FB8A0-69AC-4C09-B3A4-DE31F95E4871}" id="{AF84E2A7-677D-4180-9D86-873E9C36033A}">
    <text>estimated from regression from Auer 2019 (July 2020)</text>
  </threadedComment>
  <threadedComment ref="N1155" dT="2020-09-29T14:06:44.55" personId="{9C2FB8A0-69AC-4C09-B3A4-DE31F95E4871}" id="{43C81C89-0885-4DD4-BA93-BEC8751E84D9}">
    <text>estimated from BM-CL regression database using Auer 2019</text>
  </threadedComment>
  <threadedComment ref="I1158" dT="2021-01-21T17:45:33.19" personId="{06DEDB07-59D1-417E-83D0-6B7F6C6F5DD5}" id="{DAD591B8-CBA1-44FA-A62C-0EBF698F7C4A}">
    <text>estimated ca 24</text>
  </threadedComment>
  <threadedComment ref="I1159" dT="2021-01-21T17:45:33.19" personId="{06DEDB07-59D1-417E-83D0-6B7F6C6F5DD5}" id="{6182C663-C50B-402B-918B-CA1BEEDD7BF1}">
    <text>estimated ca 24</text>
  </threadedComment>
  <threadedComment ref="I1160" dT="2021-01-21T17:45:33.19" personId="{06DEDB07-59D1-417E-83D0-6B7F6C6F5DD5}" id="{39B56ED8-99C6-46F6-ABE0-6BCEE8CB6025}">
    <text>estimated ca 24</text>
  </threadedComment>
  <threadedComment ref="M1162" dT="2021-01-25T17:10:21.06" personId="{06DEDB07-59D1-417E-83D0-6B7F6C6F5DD5}" id="{BB96C181-3163-4D1D-BE31-6FC24085C04E}">
    <text>estimated from 45-48 by taking the median</text>
  </threadedComment>
  <threadedComment ref="N1162" dT="2021-01-25T17:10:47.21" personId="{06DEDB07-59D1-417E-83D0-6B7F6C6F5DD5}" id="{DDBA6BA7-1840-4E0B-82D6-401B46C1CE4A}">
    <text>estimated from 1100-1200 by taking the median</text>
  </threadedComment>
  <threadedComment ref="N1163" dT="2020-10-06T13:34:36.86" personId="{9C2FB8A0-69AC-4C09-B3A4-DE31F95E4871}" id="{9C3091BB-0738-4553-A1C7-18AE5F7DC13E}">
    <text>estimated from BM-CL regression database using Platt (unpub. data).</text>
  </threadedComment>
  <threadedComment ref="P1164" dT="2020-10-16T13:36:58.48" personId="{9C2FB8A0-69AC-4C09-B3A4-DE31F95E4871}" id="{8FC2BA4A-E3F2-4B5A-BC15-11DD4F07A772}">
    <text>N = 3, all the same</text>
  </threadedComment>
  <threadedComment ref="R1164" dT="2020-10-16T13:37:32.47" personId="{9C2FB8A0-69AC-4C09-B3A4-DE31F95E4871}" id="{4C5A6222-EB8E-40B8-BDA8-FC879E8CB082}">
    <text>range provided by the author "62-67"</text>
  </threadedComment>
  <threadedComment ref="S1164" dT="2020-10-16T13:37:56.13" personId="{9C2FB8A0-69AC-4C09-B3A4-DE31F95E4871}" id="{A7E03E1F-D15E-42AE-BCE3-9B72CD467471}">
    <text>range provided by the author 37-38</text>
  </threadedComment>
  <threadedComment ref="T1164" dT="2020-10-16T13:39:56.09" personId="{9C2FB8A0-69AC-4C09-B3A4-DE31F95E4871}" id="{AD5475D7-594F-4B0A-8648-A7FEDD3927F4}">
    <text>estimated from egg regression database using B. kachuga (Oct 2020)</text>
  </threadedComment>
  <threadedComment ref="N1165" dT="2020-10-16T12:56:45.19" personId="{9C2FB8A0-69AC-4C09-B3A4-DE31F95E4871}" id="{EEF0DC9B-5AE1-487B-8ACE-A5B0F5B88C79}">
    <text>estiamted from BM-CL regression database using data from Platt unpub. data</text>
  </threadedComment>
  <threadedComment ref="N1166" dT="2020-10-06T13:34:36.86" personId="{9C2FB8A0-69AC-4C09-B3A4-DE31F95E4871}" id="{0D5A4D06-65FB-4E76-BD13-4FAAE0D7046E}">
    <text>estimated from BM-CL regression database using Platt (unpub. data).</text>
  </threadedComment>
  <threadedComment ref="M1167" dT="2020-08-04T17:56:49.50" personId="{9C2FB8A0-69AC-4C09-B3A4-DE31F95E4871}" id="{F57F7E37-E1D8-497F-A6C2-D87DF4B6F7ED}">
    <text>estimated from BM-CL regression dataset using Platt (unpub. data).</text>
  </threadedComment>
  <threadedComment ref="N1169" dT="2021-02-03T15:48:38.54" personId="{06DEDB07-59D1-417E-83D0-6B7F6C6F5DD5}" id="{85C696A7-F570-4E85-AAB6-D2D14C8AC760}">
    <text>estimated from BM-CL regression database using Paul Crow (pers. com).</text>
  </threadedComment>
  <threadedComment ref="T1170" dT="2020-08-03T17:01:30.10" personId="{9C2FB8A0-69AC-4C09-B3A4-DE31F95E4871}" id="{2A18CAA6-A78A-4F6E-8C57-93E4FAA1AB10}">
    <text>estimated from egg dataset (Aug 2020)</text>
  </threadedComment>
  <threadedComment ref="R1172" dT="2020-12-28T15:10:34.21" personId="{06DEDB07-59D1-417E-83D0-6B7F6C6F5DD5}" id="{0EA9E3D6-C231-44D3-88FD-121513F8553F}">
    <text>REPORTED 47-67</text>
  </threadedComment>
  <threadedComment ref="S1172" dT="2020-12-28T15:10:42.12" personId="{06DEDB07-59D1-417E-83D0-6B7F6C6F5DD5}" id="{485AD7EF-B422-47F1-B81C-C171055935B3}">
    <text>reported 34-38</text>
  </threadedComment>
  <threadedComment ref="T1172" dT="2020-12-28T15:10:59.69" personId="{06DEDB07-59D1-417E-83D0-6B7F6C6F5DD5}" id="{212DBB1D-066B-4CCE-A67C-A5684345E3BE}">
    <text>reported 46-52.9</text>
  </threadedComment>
  <threadedComment ref="N1173" dT="2021-02-03T15:48:38.54" personId="{06DEDB07-59D1-417E-83D0-6B7F6C6F5DD5}" id="{DE803A05-E216-47DD-8CF2-2B50DA06A94E}">
    <text>estimated from BM-CL regression database using Paul Crow (pers. com).</text>
  </threadedComment>
  <threadedComment ref="N1175" dT="2021-02-15T19:20:53.93" personId="{06DEDB07-59D1-417E-83D0-6B7F6C6F5DD5}" id="{93C8F48B-A8A4-4825-A9ED-F74D3FC80D0F}">
    <text>estimated from cross-population means for this species [or genus]</text>
  </threadedComment>
  <threadedComment ref="N1178" dT="2020-07-10T11:45:56.43" personId="{9C2FB8A0-69AC-4C09-B3A4-DE31F95E4871}" id="{D78FD19D-A4C2-443A-8D96-3EE755803E1B}">
    <text>Spent BM = 950, cell value is SBM + Clutch Mass.</text>
  </threadedComment>
  <threadedComment ref="N1181" dT="2020-09-23T12:57:03.27" personId="{9C2FB8A0-69AC-4C09-B3A4-DE31F95E4871}" id="{D223C5EF-7C2D-4CA9-AF8E-BA88D185ED86}">
    <text>estimated from our BM-CL regression database using Cris Hagen pers.communciation (Sept 2020)</text>
  </threadedComment>
  <threadedComment ref="F1182" dT="2021-03-15T14:23:04.23" personId="{06DEDB07-59D1-417E-83D0-6B7F6C6F5DD5}" id="{3A17E0A7-6A31-4087-A769-3BDACFEA0E17}">
    <text>Sulawesi</text>
  </threadedComment>
  <threadedComment ref="F1183" dT="2021-03-15T14:23:04.23" personId="{06DEDB07-59D1-417E-83D0-6B7F6C6F5DD5}" id="{534FEB18-8A73-4661-B9A6-DF8A936D8E63}">
    <text>Sulawesi</text>
  </threadedComment>
  <threadedComment ref="N1184" dT="2020-09-23T12:57:03.27" personId="{9C2FB8A0-69AC-4C09-B3A4-DE31F95E4871}" id="{A104995C-65D0-41E2-8C78-6A3074EA252D}">
    <text>estimated from our BM-CL regression database using Cris Hagen pers.communciation (Sept 2020)</text>
  </threadedComment>
  <threadedComment ref="O1185" dT="2022-03-11T19:02:06.11" personId="{4E95C416-F42E-44F8-BD76-9627AA3B78BA}" id="{66922390-56D1-4711-A688-08639E8224FC}">
    <text>7-10 years reported</text>
  </threadedComment>
  <threadedComment ref="N1189" dT="2020-08-04T19:07:19.50" personId="{9C2FB8A0-69AC-4C09-B3A4-DE31F95E4871}" id="{7293EC4C-E5BF-40BC-95E5-1B4196A6980F}">
    <text>estimated from BM-CL regression dataset Dawn et al. (2020; CCB species account)</text>
  </threadedComment>
  <threadedComment ref="P1192" dT="2021-01-20T21:51:05.52" personId="{06DEDB07-59D1-417E-83D0-6B7F6C6F5DD5}" id="{609F2BBD-2C01-4E25-B908-1B209873FD23}">
    <text>range 5-10</text>
  </threadedComment>
  <threadedComment ref="N1194" dT="2020-08-04T19:07:19.50" personId="{9C2FB8A0-69AC-4C09-B3A4-DE31F95E4871}" id="{1520E1CA-E9B6-424F-8A4D-C7FB61CE4FEF}">
    <text>estimated from BM-CL regression dataset Dawn et al. (2020; CCB species account)</text>
  </threadedComment>
  <threadedComment ref="T1196" dT="2020-12-28T16:18:11.79" personId="{06DEDB07-59D1-417E-83D0-6B7F6C6F5DD5}" id="{B3BDA2AB-1DE5-4375-B404-8FE7FCC79A18}">
    <text>estimated from our egg regression database using Mauremys leprosa (Dec 2020)</text>
  </threadedComment>
  <threadedComment ref="M1197" dT="2020-03-11T17:51:02.12" personId="{9C2FB8A0-69AC-4C09-B3A4-DE31F95E4871}" id="{3EB84C59-4175-4960-B579-0E2B56F0DAFF}">
    <text>Females only</text>
  </threadedComment>
  <threadedComment ref="N1197" dT="2020-08-04T19:07:19.50" personId="{9C2FB8A0-69AC-4C09-B3A4-DE31F95E4871}" id="{12790CC2-8166-4A52-B876-DE6464974149}">
    <text>estimated from BM-CL regression dataset Dawn et al. (2020; CCB species account)</text>
  </threadedComment>
  <threadedComment ref="N1201" dT="2021-02-15T19:19:40.49" personId="{06DEDB07-59D1-417E-83D0-6B7F6C6F5DD5}" id="{6AD7C90B-B76A-480E-A7B9-4BAFBC5E86E4}">
    <text>estimated from our mean BM-CL data from M. annamensis.</text>
  </threadedComment>
  <threadedComment ref="O1202" dT="2022-03-11T19:41:37.40" personId="{4E95C416-F42E-44F8-BD76-9627AA3B78BA}" id="{C1BF5F45-3C72-45BB-9766-7F0047C7CC01}">
    <text>5-7 years reported</text>
  </threadedComment>
  <threadedComment ref="R1206" dT="2020-12-28T16:05:00.34" personId="{06DEDB07-59D1-417E-83D0-6B7F6C6F5DD5}" id="{4912C5C3-BE2E-41C1-AE10-66CAA4704003}">
    <text>reported 35-40</text>
  </threadedComment>
  <threadedComment ref="S1206" dT="2020-12-28T16:05:42.60" personId="{06DEDB07-59D1-417E-83D0-6B7F6C6F5DD5}" id="{F2654E81-7DBA-4578-8A0D-FF99907643CA}">
    <text>reported 20-30</text>
  </threadedComment>
  <threadedComment ref="N1207" dT="2020-07-27T10:10:22.27" personId="{9C2FB8A0-69AC-4C09-B3A4-DE31F95E4871}" id="{80F4D077-42D3-43E3-A48B-EBF7199C5747}">
    <text>estimated from out BM-CL data for M. rivulata from Rifai and Amr 2004</text>
  </threadedComment>
  <threadedComment ref="T1210" dT="2020-08-17T12:39:41.13" personId="{9C2FB8A0-69AC-4C09-B3A4-DE31F95E4871}" id="{065D5B1E-9915-422D-8996-7ACF911EE453}">
    <text>estimated from our egg dataset from M. reevesii.</text>
  </threadedComment>
  <threadedComment ref="N1228" dT="2020-09-11T14:55:01.51" personId="{9C2FB8A0-69AC-4C09-B3A4-DE31F95E4871}" id="{FC8FBFF8-9DE7-4731-AD7B-583FD6186A54}">
    <text>estimated from BM-CL regression database using Meek 1987, pers. comm. (Sept 2020)</text>
  </threadedComment>
  <threadedComment ref="I1230" dT="2021-01-21T17:49:10.89" personId="{06DEDB07-59D1-417E-83D0-6B7F6C6F5DD5}" id="{CC0B43B6-6E74-4013-A7FB-36024963679E}">
    <text>estimated ca. 25</text>
  </threadedComment>
  <threadedComment ref="N1234" dT="2020-10-16T16:00:49.12" personId="{9C2FB8A0-69AC-4C09-B3A4-DE31F95E4871}" id="{DC125B7D-0E97-4030-AD0A-F60303B7B223}">
    <text>estimated from BM-CL regression database from Ting Zhou unpub. data (Oct 2020)</text>
  </threadedComment>
  <threadedComment ref="N1235" dT="2020-10-16T16:00:49.12" personId="{9C2FB8A0-69AC-4C09-B3A4-DE31F95E4871}" id="{F6B719B8-D095-4185-B41C-513F74A84670}">
    <text>estimated from BM-CL regression database from Ting Zhou unpub. data (Oct 2020)</text>
  </threadedComment>
  <threadedComment ref="N1236" dT="2020-10-16T16:00:49.12" personId="{9C2FB8A0-69AC-4C09-B3A4-DE31F95E4871}" id="{C7DF5625-8797-4EC0-8BD9-02D850F87F4F}">
    <text>estimated from BM-CL regression database from Ting Zhou unpub. data (Oct 2020)</text>
  </threadedComment>
  <threadedComment ref="N1237" dT="2020-10-16T16:00:49.12" personId="{9C2FB8A0-69AC-4C09-B3A4-DE31F95E4871}" id="{D5B04A5A-B0B8-45AF-8FE3-A658DF9B0830}">
    <text>estimated from BM-CL regression database from Ting Zhou unpub. data (Oct 2020)</text>
  </threadedComment>
  <threadedComment ref="F1238" dT="2021-03-15T14:44:29.30" personId="{06DEDB07-59D1-417E-83D0-6B7F6C6F5DD5}" id="{FD32B6EC-B9F2-407B-9E79-35C812F213BF}">
    <text>(Ishigaki Island)</text>
  </threadedComment>
  <threadedComment ref="N1241" dT="2020-10-16T16:00:49.12" personId="{9C2FB8A0-69AC-4C09-B3A4-DE31F95E4871}" id="{77E9A7F2-046A-4CF7-A52D-304A88B3AECE}">
    <text>estimated from BM-CL regression database from Ting Zhou unpub. data (Oct 2020)</text>
  </threadedComment>
  <threadedComment ref="S1248" dT="2020-12-28T15:13:02.86" personId="{06DEDB07-59D1-417E-83D0-6B7F6C6F5DD5}" id="{04232492-5741-43E7-9ADE-4ECE89C0DAB5}">
    <text>reported 37-45</text>
  </threadedComment>
  <threadedComment ref="T1248" dT="2020-12-28T15:12:55.78" personId="{06DEDB07-59D1-417E-83D0-6B7F6C6F5DD5}" id="{89DBEF47-4201-4965-BD26-BD800C5414AF}">
    <text>reported 10-16</text>
  </threadedComment>
  <threadedComment ref="R1249" dT="2020-12-28T15:13:39.28" personId="{06DEDB07-59D1-417E-83D0-6B7F6C6F5DD5}" id="{36132725-F894-44C6-B1A8-6F6FD98615B3}">
    <text>reported 36-40</text>
  </threadedComment>
  <threadedComment ref="S1249" dT="2020-12-28T15:13:46.51" personId="{06DEDB07-59D1-417E-83D0-6B7F6C6F5DD5}" id="{B33E6520-A186-4AB6-A902-24E1D13248B5}">
    <text>reported 20-23</text>
  </threadedComment>
  <threadedComment ref="N1254" dT="2020-10-06T13:30:50.86" personId="{9C2FB8A0-69AC-4C09-B3A4-DE31F95E4871}" id="{B1382F0F-D4D9-4295-AE08-733A5F9546E7}">
    <text>estimated from BM-CL regression database using Auth (unpub. data).</text>
  </threadedComment>
  <threadedComment ref="F1257" dT="2021-03-15T14:44:08.23" personId="{06DEDB07-59D1-417E-83D0-6B7F6C6F5DD5}" id="{92BC91AA-E47A-4E5A-B5B6-008032DEC370}">
    <text>China</text>
  </threadedComment>
  <threadedComment ref="O1260" dT="2022-03-11T19:52:43.62" personId="{4E95C416-F42E-44F8-BD76-9627AA3B78BA}" id="{7BC54EEA-0C97-471B-99D5-06688FA5D889}">
    <text>5-7 years reported</text>
  </threadedComment>
  <threadedComment ref="N1261" dT="2020-03-10T13:57:23.29" personId="{9C2FB8A0-69AC-4C09-B3A4-DE31F95E4871}" id="{0D6EA9E7-97D5-490E-86DA-32FD4D60319B}">
    <text>Estimated from BM = 0.001*CL^3.0233 Rifai and Amr 2004</text>
  </threadedComment>
  <threadedComment ref="O1262" dT="2022-03-11T16:32:39.82" personId="{4E95C416-F42E-44F8-BD76-9627AA3B78BA}" id="{46C95828-4150-4D2B-955C-30866AE5B84F}">
    <text>Reported 5-7</text>
  </threadedComment>
  <threadedComment ref="N1263" dT="2020-03-10T13:57:23.29" personId="{9C2FB8A0-69AC-4C09-B3A4-DE31F95E4871}" id="{9D452E8F-EEA6-43C5-A0EB-D30DF00694F9}">
    <text>Estimated from BM = 0.001*CL^3.0233 Rifai and Amr 2004</text>
  </threadedComment>
  <threadedComment ref="T1263" dT="2020-08-03T17:05:42.98" personId="{9C2FB8A0-69AC-4C09-B3A4-DE31F95E4871}" id="{12AE9D4C-B6CF-4963-B815-694662EE4CD2}">
    <text>estimated from egg data using M. reevisii (Aug 2020)</text>
  </threadedComment>
  <threadedComment ref="N1264" dT="2020-03-10T13:57:23.29" personId="{9C2FB8A0-69AC-4C09-B3A4-DE31F95E4871}" id="{F903D839-39B5-4528-B8FE-E9BF9FFAC63E}">
    <text>Estimated from BM = 0.001*CL^3.0233 Rifai and Amr 2004</text>
  </threadedComment>
  <threadedComment ref="T1264" dT="2020-08-03T17:05:42.98" personId="{9C2FB8A0-69AC-4C09-B3A4-DE31F95E4871}" id="{A480404A-9A73-4BFD-BC37-DE96ECA5B9A4}">
    <text>estimated from egg data using M. reevisii (Aug 2020)</text>
  </threadedComment>
  <threadedComment ref="T1265" dT="2020-08-03T17:05:42.98" personId="{9C2FB8A0-69AC-4C09-B3A4-DE31F95E4871}" id="{3A8B46E7-B749-4AB8-AB66-5EFD27F2EE5B}">
    <text>estimated from egg data using M. reevisii (Aug 2020)</text>
  </threadedComment>
  <threadedComment ref="T1269" dT="2020-12-28T16:19:52.05" personId="{06DEDB07-59D1-417E-83D0-6B7F6C6F5DD5}" id="{2EE1AE3D-E8D9-4392-8F7D-0E57BCD69694}">
    <text>estimated from our egg regression database using Melanochelys trijuga (DEC 2020)</text>
  </threadedComment>
  <threadedComment ref="N1275" dT="2020-03-10T13:58:31.65" personId="{9C2FB8A0-69AC-4C09-B3A4-DE31F95E4871}" id="{C1D6E6C5-E3B1-4F8E-B599-72949014D43B}">
    <text>Estimated from BM-CL regression dataset Deraniyagala 1939</text>
  </threadedComment>
  <threadedComment ref="N1278" dT="2020-03-10T13:58:31.65" personId="{9C2FB8A0-69AC-4C09-B3A4-DE31F95E4871}" id="{727E3B57-C283-4E07-AAC7-7FC20C615BFC}">
    <text>Estimated from BM-CL regression dataset Deraniyagala 1939</text>
  </threadedComment>
  <threadedComment ref="T1279" dT="2020-09-24T13:55:44.10" personId="{9C2FB8A0-69AC-4C09-B3A4-DE31F95E4871}" id="{E83FF4B8-191A-4F8F-BF3B-96D700F2E98D}">
    <text>estimated from our egg regression database (Sept 2020)</text>
  </threadedComment>
  <threadedComment ref="N1281" dT="2020-07-10T11:45:59.33" personId="{9C2FB8A0-69AC-4C09-B3A4-DE31F95E4871}" id="{54DB7818-C1FF-4C4F-8AB6-F9E36C354242}">
    <text>Spent BM = 760, cell value is SBM + Clutch Mass.</text>
  </threadedComment>
  <threadedComment ref="M1282" dT="2020-03-10T13:58:31.65" personId="{9C2FB8A0-69AC-4C09-B3A4-DE31F95E4871}" id="{651CA52F-8E1C-46A3-8B19-1178A7247CBE}">
    <text>Estimated from BM-CL regression dataset Deraniyagala 1939</text>
  </threadedComment>
  <threadedComment ref="M1283" dT="2020-03-10T13:58:31.65" personId="{9C2FB8A0-69AC-4C09-B3A4-DE31F95E4871}" id="{380A2727-FFD6-412B-AF69-1B50798C9EA2}">
    <text>Estimated from BM-CL regression dataset Deraniyagala 1939</text>
  </threadedComment>
  <threadedComment ref="I1286" dT="2021-01-07T15:18:28.68" personId="{06DEDB07-59D1-417E-83D0-6B7F6C6F5DD5}" id="{2F68B364-5217-48C7-BB5F-E401C9CEE302}">
    <text>Not provided by authors but estimated from the map.</text>
  </threadedComment>
  <threadedComment ref="N1288" dT="2020-03-10T13:58:31.65" personId="{9C2FB8A0-69AC-4C09-B3A4-DE31F95E4871}" id="{DCFD0749-F4A8-4843-A3F3-7A8CEE427886}">
    <text>Estimated from BM-CL regression dataset Deraniyagala 1939</text>
  </threadedComment>
  <threadedComment ref="N1290" dT="2020-03-10T13:58:31.65" personId="{9C2FB8A0-69AC-4C09-B3A4-DE31F95E4871}" id="{FEEB402E-51E7-44C5-B92D-09D5D5FF61D7}">
    <text>Estimated from BM-CL regression dataset Deraniyagala 1939</text>
  </threadedComment>
  <threadedComment ref="I1291" dT="2021-01-21T17:51:36.74" personId="{06DEDB07-59D1-417E-83D0-6B7F6C6F5DD5}" id="{2A2B4CE1-7C55-4078-8288-47B43A2FB4C6}">
    <text>estimated ca. 18</text>
  </threadedComment>
  <threadedComment ref="I1295" dT="2021-01-21T17:51:59.71" personId="{06DEDB07-59D1-417E-83D0-6B7F6C6F5DD5}" id="{CF4854F9-4912-4C43-8784-C1610D6E36C1}">
    <text>estimated ca. 24</text>
  </threadedComment>
  <threadedComment ref="N1298" dT="2020-07-10T11:46:02.58" personId="{9C2FB8A0-69AC-4C09-B3A4-DE31F95E4871}" id="{A8891028-688D-4526-877F-CDB8607DE169}">
    <text>Spent BM = 12400, cell value is SBM + Clutch Mass.</text>
  </threadedComment>
  <threadedComment ref="W1300" dT="2021-02-08T15:53:34.86" personId="{06DEDB07-59D1-417E-83D0-6B7F6C6F5DD5}" id="{ED28DD73-58A6-4090-A69D-A3171F412D22}">
    <text>N = 1</text>
  </threadedComment>
  <threadedComment ref="I1304" dT="2021-01-21T17:52:17.80" personId="{06DEDB07-59D1-417E-83D0-6B7F6C6F5DD5}" id="{6730D17E-8220-40FB-8EC7-50B641272BEE}">
    <text>estimated ca. 24</text>
  </threadedComment>
  <threadedComment ref="I1308" dT="2021-01-21T17:52:37.01" personId="{06DEDB07-59D1-417E-83D0-6B7F6C6F5DD5}" id="{AB6C5C7C-9DFF-4A96-ACD1-127ABD4A4520}">
    <text>estimated ca. 26</text>
  </threadedComment>
  <threadedComment ref="I1309" dT="2021-01-21T17:52:37.01" personId="{06DEDB07-59D1-417E-83D0-6B7F6C6F5DD5}" id="{473889E0-D34E-498C-B49E-8359AD63681E}">
    <text>estimated ca. 26</text>
  </threadedComment>
  <threadedComment ref="N1316" dT="2021-02-08T17:04:28.44" personId="{06DEDB07-59D1-417E-83D0-6B7F6C6F5DD5}" id="{6C990D94-71E0-46A2-BA3B-F71071D1CE1A}">
    <text>estimated from spent RCM value reported in paper after addition of CM to get gravid BM</text>
  </threadedComment>
  <threadedComment ref="I1317" dT="2021-01-21T17:52:56.99" personId="{06DEDB07-59D1-417E-83D0-6B7F6C6F5DD5}" id="{B49351CD-9B9F-4742-BD64-10B47F97F597}">
    <text>estimated ca. 24</text>
  </threadedComment>
  <threadedComment ref="I1319" dT="2021-01-21T17:53:08.32" personId="{06DEDB07-59D1-417E-83D0-6B7F6C6F5DD5}" id="{ECB6A26F-B9F3-4631-A27E-C9FF756BB333}">
    <text>estimated ca. 27</text>
  </threadedComment>
  <threadedComment ref="N1321" dT="2020-07-10T11:46:07.22" personId="{9C2FB8A0-69AC-4C09-B3A4-DE31F95E4871}" id="{FE922DA8-0E12-40AF-90FD-366BE81330BC}">
    <text>Spent BM = 1560, cell value is SBM + Clutch Mass.</text>
  </threadedComment>
  <threadedComment ref="I1323" dT="2021-01-07T15:36:06.20" personId="{06DEDB07-59D1-417E-83D0-6B7F6C6F5DD5}" id="{6210BB29-86EC-49A2-9203-1A24A2E518F1}">
    <text>National Chambal Sanctuary is 600 km long, so estimate lat from roughly center of the river system</text>
  </threadedComment>
  <threadedComment ref="N1323" dT="2020-06-03T12:18:05.83" personId="{BB9FA97D-30F9-450E-953B-CAF857939ABE}" id="{D1EC3BE8-4327-4AB7-B04B-703D61A333BF}">
    <text>estimated Estimated from calculations in Moll (1987. J. Bombay Nat. Hist. Soc. 84:7-25)</text>
  </threadedComment>
  <threadedComment ref="I1324" dT="2021-01-21T17:53:24.76" personId="{06DEDB07-59D1-417E-83D0-6B7F6C6F5DD5}" id="{DBA0F9C1-467D-43D2-80EF-2834C223D6AA}">
    <text>estimated ca. 24</text>
  </threadedComment>
  <threadedComment ref="I1329" dT="2021-01-21T17:53:38.17" personId="{06DEDB07-59D1-417E-83D0-6B7F6C6F5DD5}" id="{2AE8D3AD-F29C-4E0A-82A1-24C78EA7EDFA}">
    <text>estimated ca. 8</text>
  </threadedComment>
  <threadedComment ref="N1329" dT="2020-08-04T18:05:03.67" personId="{9C2FB8A0-69AC-4C09-B3A4-DE31F95E4871}" id="{FF8B18B7-403E-48FB-81FD-B45D05367857}">
    <text>estimated from the BM-CL regression dataset from Mittermeier 1971 (Aug 2020)</text>
  </threadedComment>
  <threadedComment ref="F1334" dT="2021-03-15T14:44:39.60" personId="{06DEDB07-59D1-417E-83D0-6B7F6C6F5DD5}" id="{B687BC68-1255-45F2-9B37-F8D59F68563C}">
    <text>(Belize)</text>
  </threadedComment>
  <threadedComment ref="F1335" dT="2021-03-15T14:44:57.34" personId="{06DEDB07-59D1-417E-83D0-6B7F6C6F5DD5}" id="{EFA5E997-9E1D-4400-933B-8B3553C5C9C2}">
    <text>in Oaxaca</text>
  </threadedComment>
  <threadedComment ref="T1339" dT="2020-10-12T13:28:03.78" personId="{9C2FB8A0-69AC-4C09-B3A4-DE31F95E4871}" id="{B112487E-B557-44A9-8DFA-CA695D15A55D}">
    <text>estimated from egg regression database using M. melanosterna (oct 2020)</text>
  </threadedComment>
  <threadedComment ref="N1340" dT="2020-10-16T13:31:30.70" personId="{9C2FB8A0-69AC-4C09-B3A4-DE31F95E4871}" id="{A084C34F-801A-4F9E-BAC8-63E03A7CBDB2}">
    <text>estimated from BM-CL regression database using R. nasuta (Giraldo et al. 2012)</text>
  </threadedComment>
  <threadedComment ref="N1341" dT="2020-10-16T13:31:30.70" personId="{9C2FB8A0-69AC-4C09-B3A4-DE31F95E4871}" id="{29FF7645-84B1-4F35-BA28-69EFDE29B57F}">
    <text>estimated from BM-CL regression database using R. nasuta (Giraldo et al. 2012)</text>
  </threadedComment>
  <threadedComment ref="T1341" dT="2020-12-28T15:59:28.12" personId="{06DEDB07-59D1-417E-83D0-6B7F6C6F5DD5}" id="{8A577B6D-0548-4CCA-A694-B99DD8E1CEA2}">
    <text>estimated from our egg regression database using Rhinoclemmys areolata (Dec 2020)</text>
  </threadedComment>
  <threadedComment ref="I1342" dT="2021-01-21T17:54:09.96" personId="{06DEDB07-59D1-417E-83D0-6B7F6C6F5DD5}" id="{593E5693-3D3D-421F-9341-99FB0BE99411}">
    <text>estimated ca 10</text>
  </threadedComment>
  <threadedComment ref="N1342" dT="2020-08-04T18:07:13.48" personId="{9C2FB8A0-69AC-4C09-B3A4-DE31F95E4871}" id="{B0217033-7D64-4D3D-ABB9-7D3E64ABEC22}">
    <text>estimated from BM-CL regression dataset using Rhinoclemmys nasuta from Giraldo et al. 2012</text>
  </threadedComment>
  <threadedComment ref="N1344" dT="2020-08-04T18:07:13.48" personId="{9C2FB8A0-69AC-4C09-B3A4-DE31F95E4871}" id="{E890A8E5-8E7A-44B6-867B-BA64AB801716}">
    <text>estimated from BM-CL regression dataset using Rhinoclemmys nasuta from Giraldo et al. 2012</text>
  </threadedComment>
  <threadedComment ref="N1349" dT="2020-08-04T18:07:13.48" personId="{9C2FB8A0-69AC-4C09-B3A4-DE31F95E4871}" id="{994731E6-1EC0-4EE6-BE23-0F12E1D0FE85}">
    <text>estimated from BM-CL regression dataset using Rhinoclemmys nasuta from Giraldo et al. 2012</text>
  </threadedComment>
  <threadedComment ref="I1351" dT="2021-01-21T17:54:46.09" personId="{06DEDB07-59D1-417E-83D0-6B7F6C6F5DD5}" id="{3B60105D-B7C2-4C19-BA58-59CA8B447413}">
    <text>estimated ca. 6</text>
  </threadedComment>
  <threadedComment ref="T1351" dT="2020-10-12T13:29:10.61" personId="{9C2FB8A0-69AC-4C09-B3A4-DE31F95E4871}" id="{C21B5260-2A54-4CD7-8000-6A504A143B90}">
    <text>estimated from egg regression database (oct 2020)</text>
  </threadedComment>
  <threadedComment ref="N1352" dT="2020-07-10T11:46:10.65" personId="{9C2FB8A0-69AC-4C09-B3A4-DE31F95E4871}" id="{DDC56D1D-37F6-4BF0-BA07-B617B30D8FB9}">
    <text>Spent BM = 2700, cell value is SBM + Clutch Mass.</text>
  </threadedComment>
  <threadedComment ref="N1355" dT="2020-08-26T19:55:57.64" personId="{9C2FB8A0-69AC-4C09-B3A4-DE31F95E4871}" id="{1E4AEF4D-2AD1-404F-A3A5-BD120852D54F}">
    <text>estimated from BM-CL data in Giraldo et al. 2012 (Aug 2020)</text>
  </threadedComment>
  <threadedComment ref="I1360" dT="2021-01-21T17:55:02.37" personId="{06DEDB07-59D1-417E-83D0-6B7F6C6F5DD5}" id="{0118716B-B42E-43C6-A6BD-D5800E284E64}">
    <text>estimated ca. 5</text>
  </threadedComment>
  <threadedComment ref="N1361" dT="2020-08-26T19:55:57.64" personId="{9C2FB8A0-69AC-4C09-B3A4-DE31F95E4871}" id="{83ABCF47-E0DE-49CA-A96E-8332214AC2F7}">
    <text>estimated from BM-CL data in Giraldo et al. 2012 (Aug 2020)</text>
  </threadedComment>
  <threadedComment ref="R1365" dT="2021-01-25T17:23:31.51" personId="{06DEDB07-59D1-417E-83D0-6B7F6C6F5DD5}" id="{F422B73A-C0CA-4F75-A7FE-CF5066647A27}">
    <text>estimated from 39-55 by taking median</text>
  </threadedComment>
  <threadedComment ref="S1365" dT="2020-12-28T15:14:58.47" personId="{06DEDB07-59D1-417E-83D0-6B7F6C6F5DD5}" id="{E16FEF51-D6EB-44FD-B3D0-7806C17DEFDA}">
    <text>reported 23-31</text>
  </threadedComment>
  <threadedComment ref="N1366" dT="2020-08-04T18:07:13.48" personId="{9C2FB8A0-69AC-4C09-B3A4-DE31F95E4871}" id="{907D08B4-572D-46B6-8252-7E889253EE72}">
    <text>estimated from BM-CL regression dataset using Rhinoclemmys nasuta from Giraldo et al. 2012</text>
  </threadedComment>
  <threadedComment ref="N1367" dT="2020-08-04T18:07:13.48" personId="{9C2FB8A0-69AC-4C09-B3A4-DE31F95E4871}" id="{F0D45E96-3EB3-46D2-A931-CA99E30A866E}">
    <text>estimated from BM-CL regression dataset using Rhinoclemmys nasuta from Giraldo et al. 2012</text>
  </threadedComment>
  <threadedComment ref="F1369" dT="2021-03-15T14:44:57.34" personId="{06DEDB07-59D1-417E-83D0-6B7F6C6F5DD5}" id="{F70931C7-F74C-434C-80B4-ECE2B3E39623}">
    <text>in Oaxaca</text>
  </threadedComment>
  <threadedComment ref="N1370" dT="2020-08-04T18:07:13.48" personId="{9C2FB8A0-69AC-4C09-B3A4-DE31F95E4871}" id="{84331489-B252-41C9-B589-4A84942B7F1C}">
    <text>estimated from BM-CL regression dataset using Rhinoclemmys nasuta from Giraldo et al. 2012</text>
  </threadedComment>
  <threadedComment ref="N1372" dT="2020-08-04T18:07:13.48" personId="{9C2FB8A0-69AC-4C09-B3A4-DE31F95E4871}" id="{3A086FB3-CDA9-4932-983F-593157E999F4}">
    <text>estimated from BM-CL regression dataset using Rhinoclemmys nasuta from Giraldo et al. 2012</text>
  </threadedComment>
  <threadedComment ref="M1376" dT="2020-08-04T18:07:13.48" personId="{9C2FB8A0-69AC-4C09-B3A4-DE31F95E4871}" id="{8CF51409-9458-4BD7-BF72-CB259697C15A}">
    <text>estimated from BM-CL regression dataset using Rhinoclemmys nasuta from Giraldo et al. 2012</text>
  </threadedComment>
  <threadedComment ref="M1378" dT="2020-08-04T18:07:13.48" personId="{9C2FB8A0-69AC-4C09-B3A4-DE31F95E4871}" id="{55C2E199-C6BD-4B52-93B8-B0F149CAA954}">
    <text>estimated from BM-CL regression dataset using Rhinoclemmys nasuta from Giraldo et al. 2012</text>
  </threadedComment>
  <threadedComment ref="N1380" dT="2020-08-04T18:07:13.48" personId="{9C2FB8A0-69AC-4C09-B3A4-DE31F95E4871}" id="{AA603974-03A0-40DE-8727-6256EDD15CA7}">
    <text>estimated from BM-CL regression dataset using Rhinoclemmys nasuta from Giraldo et al. 2012</text>
  </threadedComment>
  <threadedComment ref="N1382" dT="2020-08-04T18:07:13.48" personId="{9C2FB8A0-69AC-4C09-B3A4-DE31F95E4871}" id="{C0D99A7E-DF74-45D9-A148-F89A8E893499}">
    <text>estimated from BM-CL regression dataset using Rhinoclemmys nasuta from Giraldo et al. 2012</text>
  </threadedComment>
  <threadedComment ref="N1384" dT="2020-08-04T18:07:13.48" personId="{9C2FB8A0-69AC-4C09-B3A4-DE31F95E4871}" id="{CBEF8704-B4C9-4536-A423-E1D464649F94}">
    <text>estimated from BM-CL regression dataset using Rhinoclemmys annulata from Mittermeier 1971</text>
  </threadedComment>
  <threadedComment ref="N1385" dT="2020-08-04T18:07:13.48" personId="{9C2FB8A0-69AC-4C09-B3A4-DE31F95E4871}" id="{71FF1C94-5E31-4D3D-B06B-5426C2C68921}">
    <text>estimated from BM-CL regression dataset using Rhinoclemmys annulata from Mittermeier 1971</text>
  </threadedComment>
  <threadedComment ref="N1386" dT="2020-08-04T18:07:13.48" personId="{9C2FB8A0-69AC-4C09-B3A4-DE31F95E4871}" id="{3080C603-6919-4B61-85DB-ACB7DD1E2AF5}">
    <text>estimated from BM-CL regression dataset using Rhinoclemmys annulata from Mittermeier 1971</text>
  </threadedComment>
  <threadedComment ref="N1387" dT="2020-08-04T18:07:13.48" personId="{9C2FB8A0-69AC-4C09-B3A4-DE31F95E4871}" id="{30B372FF-EE3E-41CA-A04F-BC0516FED386}">
    <text>estimated from BM-CL regression dataset using Rhinoclemmys annulata from Mittermeier 1971</text>
  </threadedComment>
  <threadedComment ref="T1389" dT="2020-08-03T17:19:21.81" personId="{9C2FB8A0-69AC-4C09-B3A4-DE31F95E4871}" id="{324421C2-BA44-4722-AAC5-AE05858406E1}">
    <text>estimated from egg dataset using M. mutica (Aug 2020)</text>
  </threadedComment>
  <threadedComment ref="N1391" dT="2021-02-03T16:01:41.75" personId="{06DEDB07-59D1-417E-83D0-6B7F6C6F5DD5}" id="{A531C300-A91B-4EDE-8AE7-95428258326F}">
    <text>estimated from our BM-CL regression database using C. Hagan (Pers. comm)</text>
  </threadedComment>
  <threadedComment ref="R1393" dT="2021-01-25T17:24:23.16" personId="{06DEDB07-59D1-417E-83D0-6B7F6C6F5DD5}" id="{0284C724-5E42-4457-A8C3-6D1D25DAF827}">
    <text>estimated from 42-52 by taking median</text>
  </threadedComment>
  <threadedComment ref="S1393" dT="2020-12-28T15:15:19.23" personId="{06DEDB07-59D1-417E-83D0-6B7F6C6F5DD5}" id="{4142DB81-4E14-4FCE-BCE3-939761F923CA}">
    <text>reported 17-23</text>
  </threadedComment>
  <threadedComment ref="M1394" dT="2021-02-03T16:03:38.17" personId="{06DEDB07-59D1-417E-83D0-6B7F6C6F5DD5}" id="{E515D5FE-65BA-467D-BA0C-6F1903E0A8F1}">
    <text>estimated from our BM-CL regression database using C. Hagan (Pers. comm)</text>
  </threadedComment>
  <threadedComment ref="R1394" dT="2021-01-25T17:24:23.16" personId="{06DEDB07-59D1-417E-83D0-6B7F6C6F5DD5}" id="{C942DB78-118A-4E01-93C7-B444C13C358F}">
    <text>estimated from 42-52 by taking median</text>
  </threadedComment>
  <threadedComment ref="S1394" dT="2020-12-28T15:15:19.23" personId="{06DEDB07-59D1-417E-83D0-6B7F6C6F5DD5}" id="{73F76810-D623-420D-A188-FFBA7322EC94}">
    <text>reported 17-23</text>
  </threadedComment>
  <threadedComment ref="R1397" dT="2021-01-25T17:24:51.85" personId="{06DEDB07-59D1-417E-83D0-6B7F6C6F5DD5}" id="{56D547D6-DAF3-4844-92C2-5D94CC4BE864}">
    <text>estimated from 42-56 by taking median</text>
  </threadedComment>
  <threadedComment ref="S1397" dT="2020-12-28T15:15:39.66" personId="{06DEDB07-59D1-417E-83D0-6B7F6C6F5DD5}" id="{A3CB8F2F-3737-46C1-B02A-EA75C85B8198}">
    <text>reported 20-23</text>
  </threadedComment>
  <threadedComment ref="M1398" dT="2021-02-15T19:48:11.58" personId="{06DEDB07-59D1-417E-83D0-6B7F6C6F5DD5}" id="{8B9A4758-F47D-4277-9A26-13AAC3E50337}">
    <text>estimated from cross-populaton means using genus.</text>
  </threadedComment>
  <threadedComment ref="P1398" dT="2022-02-05T11:53:05.60" personId="{4E95C416-F42E-44F8-BD76-9627AA3B78BA}" id="{3BFBB54A-86BF-4CD1-965C-4D3D97E8CD86}">
    <text>From Iverson "Note that current CS is wrong"</text>
  </threadedComment>
  <threadedComment ref="N1401" dT="2020-08-04T18:18:29.46" personId="{9C2FB8A0-69AC-4C09-B3A4-DE31F95E4871}" id="{73F616C0-9117-4E12-A2A1-FDDD358107B3}">
    <text>Estimated from BM-CL regressions datasets using Cuora pani from Artner 2006</text>
  </threadedComment>
  <threadedComment ref="N1402" dT="2020-08-04T18:18:29.46" personId="{9C2FB8A0-69AC-4C09-B3A4-DE31F95E4871}" id="{1B242340-9189-4B1F-9938-E015917589AA}">
    <text>Estimated from BM-CL regressions datasets using Melanochelys trijuga from Rom Whitaker, pers. communication</text>
  </threadedComment>
  <threadedComment ref="N1403" dT="2020-07-10T11:46:14.45" personId="{9C2FB8A0-69AC-4C09-B3A4-DE31F95E4871}" id="{4212E608-4215-4C89-9BCD-7ACEF891DD65}">
    <text>Spent BM = 940, cell value is SBM + Clutch Mass.</text>
  </threadedComment>
  <threadedComment ref="S1404" dT="2021-02-04T14:37:27.36" personId="{06DEDB07-59D1-417E-83D0-6B7F6C6F5DD5}" id="{F8BFDBC4-F392-4C39-9F1B-4386E385B9D4}">
    <text>20-24g was ranged provided; a significant outlier; must be incorrect.</text>
  </threadedComment>
  <threadedComment ref="O1407" dT="2021-01-28T02:03:15.45" personId="{06DEDB07-59D1-417E-83D0-6B7F6C6F5DD5}" id="{2EAC78B4-3018-4E98-8311-80F207B91578}">
    <text>estimated ca. 8</text>
  </threadedComment>
  <threadedComment ref="N1408" dT="2021-02-15T19:26:20.03" personId="{06DEDB07-59D1-417E-83D0-6B7F6C6F5DD5}" id="{274E70E2-44E7-4513-861C-6F2686C058B0}">
    <text>estimated from cross-population means for this genus</text>
  </threadedComment>
  <threadedComment ref="Q1409" dT="2020-06-03T12:21:47.06" personId="{BB9FA97D-30F9-450E-953B-CAF857939ABE}" id="{12D0F306-22C2-4303-96E9-52F7E03B5A3D}">
    <text>Schaeffer 2005 Geoemyda book</text>
  </threadedComment>
  <threadedComment ref="T1409" dT="2020-08-03T17:20:33.21" personId="{9C2FB8A0-69AC-4C09-B3A4-DE31F95E4871}" id="{48B38D37-F5CB-4175-BEAF-E675F02AE13C}">
    <text>estimated from egg dataset using M. mutica (Aug 2020)</text>
  </threadedComment>
  <threadedComment ref="N1410" dT="2020-09-16T13:19:18.69" personId="{9C2FB8A0-69AC-4C09-B3A4-DE31F95E4871}" id="{67E503A7-0FDE-46B3-8774-E417E534845C}">
    <text>estimated from BM-CL regression database using G. spengleri from Auer 2019 (Sept 2020)</text>
  </threadedComment>
  <threadedComment ref="N1413" dT="2020-08-04T18:20:22.18" personId="{9C2FB8A0-69AC-4C09-B3A4-DE31F95E4871}" id="{534C9F1B-51B4-439B-908A-2BE579519C40}">
    <text>estimated from BM-CL regression datasets using Staurotypus salvinii from Iverson 1984</text>
  </threadedComment>
  <threadedComment ref="N1414" dT="2020-08-04T18:20:22.18" personId="{9C2FB8A0-69AC-4C09-B3A4-DE31F95E4871}" id="{A3518DB0-5212-41D1-BB2D-91F0AC9D0D27}">
    <text>estimated from BM-CL regression datasets using Staurotypus salvinii from Iverson 1984</text>
  </threadedComment>
  <threadedComment ref="N1415" dT="2020-08-04T18:20:22.18" personId="{9C2FB8A0-69AC-4C09-B3A4-DE31F95E4871}" id="{7B5A8912-AC4A-43B3-8F76-EC112423BC59}">
    <text>estimated from BM-CL regression datasets using Staurotypus salvinii from Iverson 1984</text>
  </threadedComment>
  <threadedComment ref="T1418" dT="2020-10-16T13:34:29.78" personId="{9C2FB8A0-69AC-4C09-B3A4-DE31F95E4871}" id="{56A3B45B-286C-4D5D-A4DF-B91410FBF9C9}">
    <text>estimated from egg regression database using K. scorpioides (Oct 2020)</text>
  </threadedComment>
  <threadedComment ref="N1420" dT="2020-04-01T17:42:51.52" personId="{BB9FA97D-30F9-450E-953B-CAF857939ABE}" id="{9DF54E69-8CD5-4368-9420-08F683B2EE3D}">
    <text>estimated from BM = 0.1153*CL^3.006 via Iverson 1984</text>
  </threadedComment>
  <threadedComment ref="O1422" dT="2022-03-11T15:52:25.57" personId="{4E95C416-F42E-44F8-BD76-9627AA3B78BA}" id="{83549955-640E-4EBA-917A-EA9E28BAFAA6}">
    <text>Reported 5-8</text>
  </threadedComment>
  <threadedComment ref="N1423" dT="2020-08-04T18:21:20.22" personId="{9C2FB8A0-69AC-4C09-B3A4-DE31F95E4871}" id="{DDF64E55-3FB5-4730-A1FB-0CF18BE1D89E}">
    <text>estimated from BM-CL data for K. creaseri from Iverson 1989</text>
  </threadedComment>
  <threadedComment ref="N1427" dT="2020-09-29T12:04:38.44" personId="{9C2FB8A0-69AC-4C09-B3A4-DE31F95E4871}" id="{6D7A3BA5-AD11-46D2-A133-12C3C46A7966}">
    <text>estiamted from BM-CL regression database using K. herrerai from Iverson 1984 (Sept 2020)</text>
  </threadedComment>
  <threadedComment ref="T1427" dT="2020-10-16T13:56:07.02" personId="{9C2FB8A0-69AC-4C09-B3A4-DE31F95E4871}" id="{CCBCD766-3EA2-4FB6-A719-701FF4BD4B19}">
    <text>estimated from egg regression database using S. salvanii (OCt 2020)</text>
  </threadedComment>
  <threadedComment ref="T1428" dT="2020-10-12T13:34:44.81" personId="{9C2FB8A0-69AC-4C09-B3A4-DE31F95E4871}" id="{E7EA9219-565D-4500-AAD6-C4AA3C9D0A0D}">
    <text>estiamted from our egg regression database (Oct 2020)</text>
  </threadedComment>
  <threadedComment ref="T1429" dT="2020-10-12T13:34:44.81" personId="{9C2FB8A0-69AC-4C09-B3A4-DE31F95E4871}" id="{1CFEB5FC-8774-4DFE-945C-0E17567C178D}">
    <text>estiamted from our egg regression database (Oct 2020)</text>
  </threadedComment>
  <threadedComment ref="T1431" dT="2020-10-12T13:34:44.81" personId="{9C2FB8A0-69AC-4C09-B3A4-DE31F95E4871}" id="{9625956F-8B57-4722-A127-96AFCE61B219}">
    <text>estiamted from our egg regression database (Oct 2020)</text>
  </threadedComment>
  <threadedComment ref="T1434" dT="2020-12-28T15:16:22.62" personId="{06DEDB07-59D1-417E-83D0-6B7F6C6F5DD5}" id="{D0C5087F-B884-4825-8F42-69030753BC6C}">
    <text>reported 3-5</text>
  </threadedComment>
  <threadedComment ref="T1439" dT="2020-10-12T13:34:44.81" personId="{9C2FB8A0-69AC-4C09-B3A4-DE31F95E4871}" id="{B07E9B18-A9E5-473E-BCFB-77A99F55ACFA}">
    <text>estiamted from our egg regression database (Oct 2020)</text>
  </threadedComment>
  <threadedComment ref="N1440" dT="2020-03-10T13:59:53.22" personId="{9C2FB8A0-69AC-4C09-B3A4-DE31F95E4871}" id="{395A880B-EA79-489B-93FD-24CBD6FF2B38}">
    <text>Estimated from BM = 0.2490*CL^2.867 Iverson 1984</text>
  </threadedComment>
  <threadedComment ref="T1440" dT="2020-09-29T16:19:28.45" personId="{9C2FB8A0-69AC-4C09-B3A4-DE31F95E4871}" id="{BDAA2734-7A38-4DD3-A140-421EFC4478EB}">
    <text>estimated from egg regression database</text>
  </threadedComment>
  <threadedComment ref="T1442" dT="2020-10-12T13:34:44.81" personId="{9C2FB8A0-69AC-4C09-B3A4-DE31F95E4871}" id="{BF3A7D48-8B91-4F29-ABDC-48AFCCF9D0BE}">
    <text>estiamted from our egg regression database (Oct 2020)</text>
  </threadedComment>
  <threadedComment ref="M1443" dT="2021-02-03T16:11:55.30" personId="{06DEDB07-59D1-417E-83D0-6B7F6C6F5DD5}" id="{AEEF385E-8678-44F2-9EE0-27AA6C348C9B}">
    <text>Estimated from BM = 0.2490*CL^2.867 Iverson 1984</text>
  </threadedComment>
  <threadedComment ref="I1446" dT="2021-01-21T17:56:19.34" personId="{06DEDB07-59D1-417E-83D0-6B7F6C6F5DD5}" id="{18194038-58F8-4B37-8BDE-D88DE8C4519C}">
    <text>estimated ca. 19.5</text>
  </threadedComment>
  <threadedComment ref="T1446" dT="2020-08-03T18:02:01.73" personId="{9C2FB8A0-69AC-4C09-B3A4-DE31F95E4871}" id="{162DDA06-CDD4-450C-9976-0F22836311AC}">
    <text>estimated from egg data using Kinosternon integrum</text>
  </threadedComment>
  <threadedComment ref="N1447" dT="2020-07-09T18:35:57.20" personId="{9C2FB8A0-69AC-4C09-B3A4-DE31F95E4871}" id="{3528B821-D767-4C94-A331-F3330DA174D3}">
    <text>estimated from BM = 0.1507*CL^2.9825 from Iverson unpublished data (July 2020)</text>
  </threadedComment>
  <threadedComment ref="T1447" dT="2020-08-03T18:02:01.73" personId="{9C2FB8A0-69AC-4C09-B3A4-DE31F95E4871}" id="{2571F82F-318F-4E51-A90B-418697A9053E}">
    <text>estimated from egg data using Kinosternon integrum</text>
  </threadedComment>
  <threadedComment ref="N1448" dT="2020-07-09T18:35:57.20" personId="{9C2FB8A0-69AC-4C09-B3A4-DE31F95E4871}" id="{5657CC4E-8135-4B22-A641-383F87089A5E}">
    <text>estimated from BM = 0.1507*CL^2.9825 from Iverson unpublished data (July 2020)</text>
  </threadedComment>
  <threadedComment ref="T1448" dT="2020-08-03T18:03:29.05" personId="{9C2FB8A0-69AC-4C09-B3A4-DE31F95E4871}" id="{C7314D33-CC99-4F6E-B259-C7E79933A38B}">
    <text>estimated from egg data using Kinosternon integrum</text>
  </threadedComment>
  <threadedComment ref="I1452" dT="2021-01-21T17:56:34.02" personId="{06DEDB07-59D1-417E-83D0-6B7F6C6F5DD5}" id="{5F986C25-D615-4C29-958E-4C28708EFE6C}">
    <text>estimated ca.2</text>
  </threadedComment>
  <threadedComment ref="N1452" dT="2020-09-29T14:26:28.38" personId="{9C2FB8A0-69AC-4C09-B3A4-DE31F95E4871}" id="{11FC981B-C4B5-4AEE-B191-93E368700854}">
    <text>estimated from BM-CL regression database using K. herrerai Iverson 1984</text>
  </threadedComment>
  <threadedComment ref="T1453" dT="2020-12-28T16:20:41.42" personId="{06DEDB07-59D1-417E-83D0-6B7F6C6F5DD5}" id="{EE38AAC9-E1FD-47D5-9C44-239B9871DC7B}">
    <text>estimated from our egg regression database using Staurotypus triporcatus (Dec 2020)</text>
  </threadedComment>
  <threadedComment ref="N1454" dT="2020-09-30T16:52:20.33" personId="{9C2FB8A0-69AC-4C09-B3A4-DE31F95E4871}" id="{6D2C5F14-5DE7-4F25-8E3D-4B0C0538AE47}">
    <text>estimated from BM-CL regression database using K. flavescens from Iverson 1984 (Sept 2020)</text>
  </threadedComment>
  <threadedComment ref="T1456" dT="2020-04-01T20:15:43.81" personId="{BB9FA97D-30F9-450E-953B-CAF857939ABE}" id="{520FFBCF-04D3-4DA5-B6C1-86381B7E023D}">
    <text>estiamted from y = 0.6799x - 6.767 Iverson unpublised data</text>
  </threadedComment>
  <threadedComment ref="T1457" dT="2020-10-12T13:36:49.01" personId="{9C2FB8A0-69AC-4C09-B3A4-DE31F95E4871}" id="{A3C060E2-1415-4561-93B4-8E263254840A}">
    <text>estimated from our egg regression database (Oct 2020)</text>
  </threadedComment>
  <threadedComment ref="T1459" dT="2020-10-12T13:36:49.01" personId="{9C2FB8A0-69AC-4C09-B3A4-DE31F95E4871}" id="{6B81B9B8-17D2-47F5-BEB3-FA2485002EAA}">
    <text>estimated from our egg regression database (Oct 2020)</text>
  </threadedComment>
  <threadedComment ref="N1466" dT="2020-03-12T19:08:51.71" personId="{9C2FB8A0-69AC-4C09-B3A4-DE31F95E4871}" id="{AD637EA5-7246-4A92-86E3-BE56CEBE489D}">
    <text>Estimated from BM = 0.1136*CL^3.095 Iverson 1984</text>
  </threadedComment>
  <threadedComment ref="T1466" dT="2020-08-03T18:02:01.73" personId="{9C2FB8A0-69AC-4C09-B3A4-DE31F95E4871}" id="{2A591D4C-DFCE-440A-BCAC-EBA944DFE15E}">
    <text>estimated from egg data using Kinosternon integrum</text>
  </threadedComment>
  <threadedComment ref="T1467" dT="2020-08-03T18:02:01.73" personId="{9C2FB8A0-69AC-4C09-B3A4-DE31F95E4871}" id="{C3F6C688-CC5C-4F81-9CE4-B2AD82043542}">
    <text>estimated from egg data using Kinosternon integrum</text>
  </threadedComment>
  <threadedComment ref="T1468" dT="2020-08-03T18:02:01.73" personId="{9C2FB8A0-69AC-4C09-B3A4-DE31F95E4871}" id="{774D3DA4-A68F-42C0-AFE9-EF14BB4CF4D2}">
    <text>estimated from egg data using Kinosternon integrum</text>
  </threadedComment>
  <threadedComment ref="M1470" dT="2020-07-24T12:30:52.00" personId="{9C2FB8A0-69AC-4C09-B3A4-DE31F95E4871}" id="{3CE6ABAA-73E9-4697-9D9B-8E359357D37B}">
    <text>estimated from only mature females using BM-CL dataset (July)</text>
  </threadedComment>
  <threadedComment ref="N1470" dT="2020-07-24T12:30:58.09" personId="{9C2FB8A0-69AC-4C09-B3A4-DE31F95E4871}" id="{B799B449-6835-4336-BF99-67267C4E8C6B}">
    <text>estimated from only mature females using BM-CL dataset (July)</text>
  </threadedComment>
  <threadedComment ref="N1471" dT="2020-03-09T17:30:45.53" personId="{9C2FB8A0-69AC-4C09-B3A4-DE31F95E4871}" id="{F4FE9F80-C466-4140-9C21-D00EEB6AF532}">
    <text>Estiamted from BM = 0.1931*CL^2.887 (Iverson 1984)</text>
  </threadedComment>
  <threadedComment ref="T1473" dT="2020-10-12T13:38:50.35" personId="{9C2FB8A0-69AC-4C09-B3A4-DE31F95E4871}" id="{A7B31B6F-4DBF-4372-9B57-B8DD493584E4}">
    <text>estimated from our egg regression database (Oct 2020)</text>
  </threadedComment>
  <threadedComment ref="T1474" dT="2020-10-12T13:38:50.35" personId="{9C2FB8A0-69AC-4C09-B3A4-DE31F95E4871}" id="{A62A41FA-A8F9-4AA9-ACE2-84468AE054E7}">
    <text>estimated from our egg regression database (Oct 2020)</text>
  </threadedComment>
  <threadedComment ref="T1475" dT="2020-10-12T13:38:50.35" personId="{9C2FB8A0-69AC-4C09-B3A4-DE31F95E4871}" id="{683C4F29-064D-4712-9F51-DB7768C56978}">
    <text>4.76g; estimated from our egg regression database (Oct 2020)</text>
  </threadedComment>
  <threadedComment ref="M1479" dT="2020-03-09T17:35:03.78" personId="{9C2FB8A0-69AC-4C09-B3A4-DE31F95E4871}" id="{0E25B01E-75F9-40CF-B761-A415EFCDD528}">
    <text>Converted PL = 13.25 to CL PL/CL = 0.954 from Iverson 1989</text>
  </threadedComment>
  <threadedComment ref="N1484" dT="2020-09-29T14:31:34.62" personId="{9C2FB8A0-69AC-4C09-B3A4-DE31F95E4871}" id="{98372592-F151-4DEF-91E4-A46FDE508C0D}">
    <text>estimated from BM-CL regression database from Iverson 1998</text>
  </threadedComment>
  <threadedComment ref="T1484" dT="2020-04-01T20:18:34.89" personId="{BB9FA97D-30F9-450E-953B-CAF857939ABE}" id="{B59069AB-AD07-4A84-838E-BA5B78321915}">
    <text>estiamted from y = 1.001x - 11.469 Iverson unpublished data</text>
  </threadedComment>
  <threadedComment ref="N1485" dT="2020-09-29T14:31:34.62" personId="{9C2FB8A0-69AC-4C09-B3A4-DE31F95E4871}" id="{4A00A617-8670-41C3-AC50-89893EA64DCE}">
    <text>estimated from BM-CL regression database from Iverson 1998</text>
  </threadedComment>
  <threadedComment ref="N1486" dT="2020-09-29T14:31:34.62" personId="{9C2FB8A0-69AC-4C09-B3A4-DE31F95E4871}" id="{820ED5F4-932F-46B2-808B-EE6B38E7B82A}">
    <text>estimated from BM-CL regression database from Iverson 1998</text>
  </threadedComment>
  <threadedComment ref="T1486" dT="2020-07-24T12:26:32.62" personId="{9C2FB8A0-69AC-4C09-B3A4-DE31F95E4871}" id="{F073E3AF-419D-4E2D-99F0-1999A824E1C6}">
    <text>estimated from the egg dataset (July 2020)</text>
  </threadedComment>
  <threadedComment ref="T1487" dT="2020-10-12T13:40:48.19" personId="{9C2FB8A0-69AC-4C09-B3A4-DE31F95E4871}" id="{35CDBCC7-D5AE-4E4A-ABDE-81BFFC61BF33}">
    <text>5g; estimated from egg regression database (Oct 2020)</text>
  </threadedComment>
  <threadedComment ref="N1489" dT="2020-03-09T17:42:31.58" personId="{9C2FB8A0-69AC-4C09-B3A4-DE31F95E4871}" id="{A0952D2B-D743-4DE9-B0F6-A7C583E5F40E}">
    <text>Estiamted from BM = 0.1771*CL^2.924 (Iverson 1984)</text>
  </threadedComment>
  <threadedComment ref="T1489" dT="2020-04-01T20:21:03.74" personId="{BB9FA97D-30F9-450E-953B-CAF857939ABE}" id="{CC8B8849-12C9-4633-8020-CBA4F4C82FEF}">
    <text>estimated from y = 1.0891x - 12.002 Iverson unpublished data</text>
  </threadedComment>
  <threadedComment ref="I1493" dT="2021-01-25T17:04:37.00" personId="{06DEDB07-59D1-417E-83D0-6B7F6C6F5DD5}" id="{36A92055-35C7-4357-9EC3-FA5F49636410}">
    <text>estimated ca. 8</text>
  </threadedComment>
  <threadedComment ref="N1494" dT="2020-03-09T17:42:31.58" personId="{9C2FB8A0-69AC-4C09-B3A4-DE31F95E4871}" id="{57EA9032-2394-4A50-B78E-C34E0F9B1FF3}">
    <text>Estiamted from BM = 0.1771*CL^2.924 (Iverson 1984)</text>
  </threadedComment>
  <threadedComment ref="S1494" dT="2020-04-01T20:21:17.26" personId="{BB9FA97D-30F9-450E-953B-CAF857939ABE}" id="{9E5F62F3-D1D4-41BC-A224-54FD95A7212B}">
    <text>estimated from y = 1.0891x - 12.002 Iverson unpublished data</text>
  </threadedComment>
  <threadedComment ref="T1498" dT="2020-10-12T13:42:19.10" personId="{9C2FB8A0-69AC-4C09-B3A4-DE31F95E4871}" id="{ACDC40A4-A1EA-4C74-9E21-C6FE94C48BB5}">
    <text>estimated from our egg regression database (Oct 2020)</text>
  </threadedComment>
  <threadedComment ref="N1503" dT="2021-02-03T16:13:28.76" personId="{06DEDB07-59D1-417E-83D0-6B7F6C6F5DD5}" id="{19B8AE77-B3BB-4F39-9937-108F9F775244}">
    <text>estimated from our BM-CL regression database using Iverson 1984</text>
  </threadedComment>
  <threadedComment ref="M1504" dT="2021-02-03T16:13:35.06" personId="{06DEDB07-59D1-417E-83D0-6B7F6C6F5DD5}" id="{3B10D817-5924-4753-AFC2-50FCD3BD67E2}">
    <text>estimated from our BM-CL regression database using Iverson 1984</text>
  </threadedComment>
  <threadedComment ref="T1505" dT="2020-10-12T13:44:38.31" personId="{9C2FB8A0-69AC-4C09-B3A4-DE31F95E4871}" id="{F46AFD57-DDC6-44E9-9A10-15992DB09F5A}">
    <text>estiamted from egg regression database (Oct 2020)</text>
  </threadedComment>
  <threadedComment ref="M1506" dT="2020-03-09T17:45:15.86" personId="{9C2FB8A0-69AC-4C09-B3A4-DE31F95E4871}" id="{5BDB49E2-28A4-473D-8651-72E7F2B6A429}">
    <text>Estimate from BM = 0.2212*CL^2.902 (Iverson 1984)</text>
  </threadedComment>
  <threadedComment ref="N1508" dT="2020-03-09T17:45:15.86" personId="{9C2FB8A0-69AC-4C09-B3A4-DE31F95E4871}" id="{E3ECDED1-71EF-4C83-ACDF-4670353E194F}">
    <text>Estimate from BM = 0.2212*CL^2.902 (Iverson 1984)</text>
  </threadedComment>
  <threadedComment ref="M1509" dT="2020-03-09T17:45:15.86" personId="{9C2FB8A0-69AC-4C09-B3A4-DE31F95E4871}" id="{8B42E9D9-7E25-4C98-A1B2-7D9566B51E50}">
    <text>Estimate from BM = 0.2212*CL^2.902 (Iverson 1984)</text>
  </threadedComment>
  <threadedComment ref="N1510" dT="2020-03-09T17:45:15.86" personId="{9C2FB8A0-69AC-4C09-B3A4-DE31F95E4871}" id="{0DEB51F3-AEF7-476E-8356-8436E0A1A1D1}">
    <text>Estimate from BM = 0.2212*CL^2.902 (Iverson 1984)</text>
  </threadedComment>
  <threadedComment ref="T1516" dT="2020-10-12T13:46:19.79" personId="{9C2FB8A0-69AC-4C09-B3A4-DE31F95E4871}" id="{818AD8B6-594B-4874-AE90-30D1E467255A}">
    <text>estimated from egg regression database (Oct 2020)</text>
  </threadedComment>
  <threadedComment ref="M1517" dT="2020-03-09T17:45:15.86" personId="{9C2FB8A0-69AC-4C09-B3A4-DE31F95E4871}" id="{D686FCBC-AE4A-4D21-BBCE-5265A3C73FBF}">
    <text>Estimate from BM = 0.2212*CL^2.902 (Iverson 1984)</text>
  </threadedComment>
  <threadedComment ref="N1519" dT="2020-03-09T17:45:15.86" personId="{9C2FB8A0-69AC-4C09-B3A4-DE31F95E4871}" id="{E3439C41-9B89-462F-8250-20BFFEADA45B}">
    <text>Estimate from BM = 0.2212*CL^2.902 (Iverson 1984)</text>
  </threadedComment>
  <threadedComment ref="T1521" dT="2020-10-12T13:46:19.79" personId="{9C2FB8A0-69AC-4C09-B3A4-DE31F95E4871}" id="{0608DE4D-E09A-41E0-9965-5C7776A53E2D}">
    <text>estimated from egg regression database (Oct 2020)</text>
  </threadedComment>
  <threadedComment ref="T1524" dT="2021-01-25T17:46:55.99" personId="{06DEDB07-59D1-417E-83D0-6B7F6C6F5DD5}" id="{1878433D-C479-4C3A-9F31-60C150E590AD}">
    <text>estimated from 7.4-9.9 by taking median</text>
  </threadedComment>
  <threadedComment ref="S1525" dT="2020-04-01T20:24:05.25" personId="{BB9FA97D-30F9-450E-953B-CAF857939ABE}" id="{9308E228-6B08-443D-A565-075E0EB7D412}">
    <text>estimated from y = 0.9303x - 9.9663 Iverson Unpublished data</text>
  </threadedComment>
  <threadedComment ref="T1527" dT="2020-10-12T13:46:19.79" personId="{9C2FB8A0-69AC-4C09-B3A4-DE31F95E4871}" id="{07529FB2-291F-4136-8C42-113C77712E3F}">
    <text>estimated from egg regression database (Oct 2020)</text>
  </threadedComment>
  <threadedComment ref="N1528" dT="2021-01-18T14:33:16.35" personId="{06DEDB07-59D1-417E-83D0-6B7F6C6F5DD5}" id="{0CEEE1D8-FADE-48B6-9A69-01A887DA7F6C}">
    <text>Estimated from BM-CL regression database using K. hirtipes</text>
  </threadedComment>
  <threadedComment ref="T1528" dT="2021-01-18T14:37:33.07" personId="{06DEDB07-59D1-417E-83D0-6B7F6C6F5DD5}" id="{ADF6DDF1-B425-4DDC-AED6-B6933C35BAC8}">
    <text>esimated from our egg regression database (Jan 2021)</text>
  </threadedComment>
  <threadedComment ref="N1529" dT="2021-01-18T14:33:16.35" personId="{06DEDB07-59D1-417E-83D0-6B7F6C6F5DD5}" id="{59160738-6F55-4DD7-8B70-197B2CD6CBA3}">
    <text>Estimated from BM-CL regression database using K. hirtipes</text>
  </threadedComment>
  <threadedComment ref="M1530" dT="2021-01-25T17:07:43.08" personId="{06DEDB07-59D1-417E-83D0-6B7F6C6F5DD5}" id="{4D3266DD-6CA6-41E1-882E-F0867F19D313}">
    <text>estimated from 11.15-12.5 by taking the median</text>
  </threadedComment>
  <threadedComment ref="N1530" dT="2020-08-04T18:25:54.28" personId="{9C2FB8A0-69AC-4C09-B3A4-DE31F95E4871}" id="{4FD916E7-48C7-4C0C-B318-3D0B3FB3A9E4}">
    <text>estiamted from BM-CL regression dataset using Kinosternon hirtipes from Iverson unpublished</text>
  </threadedComment>
  <threadedComment ref="N1531" dT="2020-08-04T18:25:54.28" personId="{9C2FB8A0-69AC-4C09-B3A4-DE31F95E4871}" id="{C3CD2AFC-D1F4-40B9-9AA1-943538C0CEB8}">
    <text>estiamted from BM-CL regression dataset using Kinosternon hirtipes from Iverson unpublished</text>
  </threadedComment>
  <threadedComment ref="R1531" dT="2020-08-03T18:08:12.80" personId="{9C2FB8A0-69AC-4C09-B3A4-DE31F95E4871}" id="{100D02E8-3BD8-49D8-AF67-DA8F2836C671}">
    <text>estimated from egg dataset using Kinosternon integrum</text>
  </threadedComment>
  <threadedComment ref="T1531" dT="2020-10-12T13:48:42.45" personId="{9C2FB8A0-69AC-4C09-B3A4-DE31F95E4871}" id="{3D461E25-D320-4D36-91FD-43156C9899E7}">
    <text>7.91g; estimated from egg regression database using K. intergrum (Oct 2020)</text>
  </threadedComment>
  <threadedComment ref="R1532" dT="2020-08-03T18:08:12.80" personId="{9C2FB8A0-69AC-4C09-B3A4-DE31F95E4871}" id="{4CA9A13C-6528-4182-920F-46BB67B949AD}">
    <text>estimated from egg dataset using Kinosternon integrum</text>
  </threadedComment>
  <threadedComment ref="R1533" dT="2020-08-03T18:08:12.80" personId="{9C2FB8A0-69AC-4C09-B3A4-DE31F95E4871}" id="{286784B8-53BD-4498-975B-E76187DDF412}">
    <text>estimated from egg dataset using Kinosternon integrum</text>
  </threadedComment>
  <threadedComment ref="R1534" dT="2020-08-03T18:08:12.80" personId="{9C2FB8A0-69AC-4C09-B3A4-DE31F95E4871}" id="{63AC1923-5935-4F10-974A-5BDCA07E17A2}">
    <text>estimated from egg dataset using Kinosternon integrum</text>
  </threadedComment>
  <threadedComment ref="R1535" dT="2020-08-03T18:08:12.80" personId="{9C2FB8A0-69AC-4C09-B3A4-DE31F95E4871}" id="{E4FE118B-DD1B-4852-81AA-2610DF83969A}">
    <text>estimated from egg dataset using Kinosternon integrum</text>
  </threadedComment>
  <threadedComment ref="R1536" dT="2020-08-03T18:08:12.80" personId="{9C2FB8A0-69AC-4C09-B3A4-DE31F95E4871}" id="{8E405392-A673-4DA3-A109-872D6CA5450B}">
    <text>estimated from egg dataset using Kinosternon integrum</text>
  </threadedComment>
  <threadedComment ref="X1536" dT="2021-01-11T16:16:37.48" personId="{06DEDB07-59D1-417E-83D0-6B7F6C6F5DD5}" id="{BD71A9F4-3830-478B-8780-BD1CAFD25D24}">
    <text>estimate</text>
  </threadedComment>
  <threadedComment ref="R1537" dT="2020-08-03T18:08:12.80" personId="{9C2FB8A0-69AC-4C09-B3A4-DE31F95E4871}" id="{0C1C2707-BB9E-4C06-993A-20A875328022}">
    <text>estimated from egg dataset using Kinosternon integrum</text>
  </threadedComment>
  <threadedComment ref="R1538" dT="2020-08-03T18:08:12.80" personId="{9C2FB8A0-69AC-4C09-B3A4-DE31F95E4871}" id="{1EB4851D-C9B0-48AE-BB3F-5255D335EA68}">
    <text>estimated from egg dataset using Kinosternon integrum</text>
  </threadedComment>
  <threadedComment ref="R1539" dT="2020-08-03T18:08:12.80" personId="{9C2FB8A0-69AC-4C09-B3A4-DE31F95E4871}" id="{70710B4E-8FAF-49C6-9F28-B405BB5F5A94}">
    <text>estimated from egg dataset using Kinosternon integrum</text>
  </threadedComment>
  <threadedComment ref="R1540" dT="2020-08-03T18:08:12.80" personId="{9C2FB8A0-69AC-4C09-B3A4-DE31F95E4871}" id="{E69D01E8-789B-4531-B1CA-9B08B37E666D}">
    <text>estimated from egg dataset using Kinosternon integrum</text>
  </threadedComment>
  <threadedComment ref="R1541" dT="2020-08-03T18:08:12.80" personId="{9C2FB8A0-69AC-4C09-B3A4-DE31F95E4871}" id="{B062025F-3FF3-42A3-9C97-A3FFD71AD823}">
    <text>estimated from egg dataset using Kinosternon integrum</text>
  </threadedComment>
  <threadedComment ref="N1542" dT="2020-08-04T18:25:54.28" personId="{9C2FB8A0-69AC-4C09-B3A4-DE31F95E4871}" id="{B3351F12-0E6D-4AFB-B740-00F0C45621BC}">
    <text>estiamted from BM-CL regression dataset using Kinosternon hirtipes from Iverson unpublished</text>
  </threadedComment>
  <threadedComment ref="T1546" dT="2022-02-13T12:19:44.19" personId="{4E95C416-F42E-44F8-BD76-9627AA3B78BA}" id="{F914CA24-119B-4D1B-AF61-3E196F523063}">
    <text>estimated from our egg database using K. subrubrum.</text>
  </threadedComment>
  <threadedComment ref="D1547" dT="2020-04-15T18:54:38.17" personId="{BB9FA97D-30F9-450E-953B-CAF857939ABE}" id="{36EF8ABD-EB25-45E3-85D1-5702CFE43655}">
    <text>stejnegeri is senior synonym of arizonense.</text>
  </threadedComment>
  <threadedComment ref="N1547" dT="2020-09-29T14:34:34.37" personId="{9C2FB8A0-69AC-4C09-B3A4-DE31F95E4871}" id="{9B89B0A5-253F-40B4-9A86-043B2E17C7F2}">
    <text>estimated from BM-CL regression database using Iverson 1984</text>
  </threadedComment>
  <threadedComment ref="N1551" dT="2020-03-09T17:46:30.02" personId="{9C2FB8A0-69AC-4C09-B3A4-DE31F95E4871}" id="{0462B551-BBB7-4C71-92E6-2B92DD8E9B01}">
    <text>Estiamted from BM = 0.002032*CL^2.4917 (Etchberger pers com)</text>
  </threadedComment>
  <threadedComment ref="N1552" dT="2020-03-09T17:46:30.02" personId="{9C2FB8A0-69AC-4C09-B3A4-DE31F95E4871}" id="{5E62BCA2-6EE7-48D0-B20E-0D1D36286C5C}">
    <text>Estiamted from BM = 0.002032*CL^2.4917 (Etchberger pers com)</text>
  </threadedComment>
  <threadedComment ref="M1553" dT="2020-09-23T13:01:38.03" personId="{9C2FB8A0-69AC-4C09-B3A4-DE31F95E4871}" id="{3BD3F283-A144-4222-8D68-0073E7A715C1}">
    <text>PL = 8.5; SCL estiamted from PL/CL (0.96004)</text>
  </threadedComment>
  <threadedComment ref="N1553" dT="2020-03-09T17:46:30.02" personId="{9C2FB8A0-69AC-4C09-B3A4-DE31F95E4871}" id="{7F353844-E3D7-4B44-A7E4-55B07ED5D8E4}">
    <text>Estiamted from BM = 0.002032*CL^2.4917 (Etchberger pers com)</text>
  </threadedComment>
  <threadedComment ref="N1554" dT="2020-03-09T17:46:30.02" personId="{9C2FB8A0-69AC-4C09-B3A4-DE31F95E4871}" id="{BC776571-2DF0-4FC3-9F18-F0EDC0CDD64D}">
    <text>Estiamted from BM = 0.002032*CL^2.4917 (Etchberger pers com)</text>
  </threadedComment>
  <threadedComment ref="I1555" dT="2021-01-21T17:58:42.87" personId="{06DEDB07-59D1-417E-83D0-6B7F6C6F5DD5}" id="{D2727026-5D9E-4A0D-8E68-FD2040AD34C6}">
    <text>estimated from 30.0 to 31.0</text>
  </threadedComment>
  <threadedComment ref="T1555" dT="2020-10-12T13:53:58.66" personId="{9C2FB8A0-69AC-4C09-B3A4-DE31F95E4871}" id="{393745AF-97A4-4ED5-A31D-8689096ABF28}">
    <text>estimated from egg regression database (Oct 2020)</text>
  </threadedComment>
  <threadedComment ref="M1556" dT="2020-07-24T12:34:34.96" personId="{9C2FB8A0-69AC-4C09-B3A4-DE31F95E4871}" id="{2E9D6F1E-6B09-404C-86BC-493CA93EDF02}">
    <text>PL = 9.249</text>
  </threadedComment>
  <threadedComment ref="N1556" dT="2020-03-09T17:46:30.02" personId="{9C2FB8A0-69AC-4C09-B3A4-DE31F95E4871}" id="{EBE70629-30C5-4C89-B432-A5BAE98BEED2}">
    <text>Estiamted from BM = 0.002032*CL^2.4917 (Etchberger pers com)</text>
  </threadedComment>
  <threadedComment ref="T1556" dT="2020-09-29T16:30:03.02" personId="{9C2FB8A0-69AC-4C09-B3A4-DE31F95E4871}" id="{F12770C5-AB55-434F-B93D-81E2277072E4}">
    <text>estimated from egg database (SEPT 2020)</text>
  </threadedComment>
  <threadedComment ref="I1557" dT="2021-01-21T17:58:57.06" personId="{06DEDB07-59D1-417E-83D0-6B7F6C6F5DD5}" id="{181207FC-D5BD-4FCA-A9C2-209BD81A708D}">
    <text>estimated ca. 34</text>
  </threadedComment>
  <threadedComment ref="T1557" dT="2020-09-29T16:30:03.02" personId="{9C2FB8A0-69AC-4C09-B3A4-DE31F95E4871}" id="{1819429A-B6B7-4A70-87AC-89FB4709FDA4}">
    <text>estimated from egg database (SEPT 2020)</text>
  </threadedComment>
  <threadedComment ref="M1559" dT="2020-03-09T17:46:30.02" personId="{9C2FB8A0-69AC-4C09-B3A4-DE31F95E4871}" id="{2DE50200-EE26-4CF5-B650-02DD5259F888}">
    <text>Estiamted from BM = 0.002032*CL^2.4917 (Etchberger pers com)</text>
  </threadedComment>
  <threadedComment ref="N1559" dT="2020-03-09T17:46:30.02" personId="{9C2FB8A0-69AC-4C09-B3A4-DE31F95E4871}" id="{9E7F58F9-8D6C-431A-B04D-2898935D97C8}">
    <text>Estiamted from BM = 0.002032*CL^2.4917 (Etchberger pers com)</text>
  </threadedComment>
  <threadedComment ref="T1560" dT="2020-09-29T16:30:03.02" personId="{9C2FB8A0-69AC-4C09-B3A4-DE31F95E4871}" id="{E32D8FA6-1219-45A4-9B2E-E1F66C18F437}">
    <text>estimated from egg database (SEPT 2020)</text>
  </threadedComment>
  <threadedComment ref="N1561" dT="2020-03-09T17:46:30.02" personId="{9C2FB8A0-69AC-4C09-B3A4-DE31F95E4871}" id="{AAFB4F4E-8575-4525-BEEC-ED695C6B7CA2}">
    <text>Estiamted from BM = 0.002032*CL^2.4917 (Etchberger pers com)</text>
  </threadedComment>
  <threadedComment ref="T1561" dT="2020-09-29T16:30:28.37" personId="{9C2FB8A0-69AC-4C09-B3A4-DE31F95E4871}" id="{4806C063-2E70-4B12-8CDB-FE0B864D5DF8}">
    <text>estimated from egg mass table</text>
  </threadedComment>
  <threadedComment ref="T1563" dT="2020-09-29T16:30:03.02" personId="{9C2FB8A0-69AC-4C09-B3A4-DE31F95E4871}" id="{81AFA476-9811-4C76-81E1-D9D981270FC0}">
    <text>estimated from egg database (SEPT 2020)</text>
  </threadedComment>
  <threadedComment ref="M1564" dT="2020-09-29T11:59:35.85" personId="{9C2FB8A0-69AC-4C09-B3A4-DE31F95E4871}" id="{5B6C5CD0-90A7-4D74-AB3A-2D812309F518}">
    <text>PL = 8.749; SCL estiamted from PL/CL (0.96004)</text>
  </threadedComment>
  <threadedComment ref="N1564" dT="2020-03-09T17:46:30.02" personId="{9C2FB8A0-69AC-4C09-B3A4-DE31F95E4871}" id="{B266E5AF-BB9F-4ACC-8C13-C1077EF369AE}">
    <text>Estiamted from BM = 0.002032*CL^2.4917 (Etchberger pers com)</text>
  </threadedComment>
  <threadedComment ref="T1564" dT="2020-04-01T20:27:46.24" personId="{BB9FA97D-30F9-450E-953B-CAF857939ABE}" id="{99E9BFCF-6A2F-4C26-8C60-EF36C2652994}">
    <text>estimated from y = 0.6189x - 5.6106 Iverson unpublished data</text>
  </threadedComment>
  <threadedComment ref="T1565" dT="2020-10-16T13:58:11.19" personId="{9C2FB8A0-69AC-4C09-B3A4-DE31F95E4871}" id="{ACB6B76A-59DD-4D32-8A12-5283A7B80FD3}">
    <text>estimated from egg regression database using K. subrubrum (Oct 2020)</text>
  </threadedComment>
  <threadedComment ref="S1566" dT="2021-01-25T17:39:32.11" personId="{06DEDB07-59D1-417E-83D0-6B7F6C6F5DD5}" id="{5AE8C3B3-112A-4954-B6B5-C8BA6A525EC3}">
    <text>estimated from 18-20 by taking median</text>
  </threadedComment>
  <threadedComment ref="T1566" dT="2021-01-25T17:43:49.09" personId="{06DEDB07-59D1-417E-83D0-6B7F6C6F5DD5}" id="{C6950B26-7308-4811-978C-27EC4388F206}">
    <text>estimated from 17-19 by taking median. this number must be incorrect.</text>
  </threadedComment>
  <threadedComment ref="N1568" dT="2021-02-03T16:18:46.00" personId="{06DEDB07-59D1-417E-83D0-6B7F6C6F5DD5}" id="{CC15BED5-2D68-44A1-801E-D62D586A1E6A}">
    <text>estimated from our BM-CL regression database from Iverson 1984</text>
  </threadedComment>
  <threadedComment ref="T1575" dT="2020-10-12T13:56:32.01" personId="{9C2FB8A0-69AC-4C09-B3A4-DE31F95E4871}" id="{30AB5BAC-591A-4812-837F-7C5099D51031}">
    <text>estimated from our egg regression database (Oct 2020)</text>
  </threadedComment>
  <threadedComment ref="P1576" dT="2021-03-01T17:14:44.62" personId="{06DEDB07-59D1-417E-83D0-6B7F6C6F5DD5}" id="{871A1A41-F4E0-44DE-A202-BE8C16911B76}">
    <text>at least 2</text>
  </threadedComment>
  <threadedComment ref="T1577" dT="2020-10-12T13:56:32.01" personId="{9C2FB8A0-69AC-4C09-B3A4-DE31F95E4871}" id="{BD751736-4241-4256-BEEF-0640DAE07EF1}">
    <text>estimated from our egg regression database (Oct 2020)</text>
  </threadedComment>
  <threadedComment ref="P1578" dT="2021-01-28T19:45:01.96" personId="{06DEDB07-59D1-417E-83D0-6B7F6C6F5DD5}" id="{2762DB54-71D6-45EC-8313-B5B86158486B}">
    <text>N = 2</text>
  </threadedComment>
  <threadedComment ref="S1578" dT="2020-04-01T20:33:26.59" personId="{BB9FA97D-30F9-450E-953B-CAF857939ABE}" id="{70E23546-F2D7-4DE7-98A6-0E0D4898D1E6}">
    <text>estimated from EM = 0.413EL + 1.192EW - 30.980 Iverson unpublished data</text>
  </threadedComment>
  <threadedComment ref="M1582" dT="2021-01-28T20:16:43.46" personId="{06DEDB07-59D1-417E-83D0-6B7F6C6F5DD5}" id="{CD519CCC-D895-4A45-9E72-1F7C50920174}">
    <text>Max CL = 40</text>
  </threadedComment>
  <threadedComment ref="T1582" dT="2020-04-01T20:33:39.19" personId="{BB9FA97D-30F9-450E-953B-CAF857939ABE}" id="{7981D4DD-E97E-434E-AE91-9930E4A57FF8}">
    <text>estimated from y = 1.9459x - 31.577 Iverson unpublished data</text>
  </threadedComment>
  <threadedComment ref="T1583" dT="2020-10-12T13:58:08.49" personId="{9C2FB8A0-69AC-4C09-B3A4-DE31F95E4871}" id="{64F59A1C-742F-4295-848C-CE8A86D33AF5}">
    <text>estimated from egg regression database (Oct 2020)</text>
  </threadedComment>
  <threadedComment ref="P1585" dT="2021-03-01T17:17:18.62" personId="{06DEDB07-59D1-417E-83D0-6B7F6C6F5DD5}" id="{A9932B12-B86B-4558-BE2B-92652298FF85}">
    <text>rarely 3</text>
  </threadedComment>
  <threadedComment ref="R1585" dT="2021-01-25T17:19:58.40" personId="{06DEDB07-59D1-417E-83D0-6B7F6C6F5DD5}" id="{C9DE07FF-ECD7-46A1-9A10-1A395AFF997C}">
    <text>estimated from 30-36 by taking median</text>
  </threadedComment>
  <threadedComment ref="I1588" dT="2021-01-21T17:58:57.06" personId="{06DEDB07-59D1-417E-83D0-6B7F6C6F5DD5}" id="{D1D8F789-64C8-4EF0-855A-C17314E2AEE6}">
    <text>estimated ca. 34</text>
  </threadedComment>
  <threadedComment ref="T1588" dT="2020-10-12T13:58:08.49" personId="{9C2FB8A0-69AC-4C09-B3A4-DE31F95E4871}" id="{578DC804-D908-4DBE-A0DF-2520513222FF}">
    <text>estimated from egg regression database (Oct 2020)</text>
  </threadedComment>
  <threadedComment ref="T1590" dT="2020-08-17T12:59:41.72" personId="{9C2FB8A0-69AC-4C09-B3A4-DE31F95E4871}" id="{F2D2FB59-A326-4D30-B57B-2BC8242CFD20}">
    <text>estiamted from our egg data set for S. minor.</text>
  </threadedComment>
  <threadedComment ref="O1592" dT="2022-03-11T15:53:36.42" personId="{4E95C416-F42E-44F8-BD76-9627AA3B78BA}" id="{785A1EBF-7986-4F62-A88F-B385B3ADBF35}">
    <text>Reported 6-8</text>
  </threadedComment>
  <threadedComment ref="T1593" dT="2020-10-12T13:59:52.57" personId="{9C2FB8A0-69AC-4C09-B3A4-DE31F95E4871}" id="{9699C8A7-1C15-4B69-9C62-466CE990EFD6}">
    <text>estimated from egg regression database using S. minor (Oct 2020)</text>
  </threadedComment>
  <threadedComment ref="T1600" dT="2020-10-12T14:00:34.85" personId="{9C2FB8A0-69AC-4C09-B3A4-DE31F95E4871}" id="{7433BF03-0FB2-4476-B8D9-15FC53C1A13D}">
    <text>5.16g; estimated from egg regression database (Oct 2020)</text>
  </threadedComment>
  <threadedComment ref="N1601" dT="2022-02-05T13:59:41.17" personId="{4E95C416-F42E-44F8-BD76-9627AA3B78BA}" id="{2F73C7C2-DBF6-4F7C-9F80-E209ECE919B8}">
    <text>John Iverson:
estimated from BM-CL data in Mosimann 1956</text>
  </threadedComment>
  <threadedComment ref="T1601" dT="2022-02-05T14:00:20.29" personId="{4E95C416-F42E-44F8-BD76-9627AA3B78BA}" id="{53B122C4-0EA8-477F-A823-526CE6E22C42}">
    <text>Egg mass estimated from our egg data for S. minor</text>
  </threadedComment>
  <threadedComment ref="M1602" dT="2021-01-18T14:41:53.89" personId="{06DEDB07-59D1-417E-83D0-6B7F6C6F5DD5}" id="{4DE29347-EC92-4333-9F82-73C743831716}">
    <text>estimated using PL/CL calculated from 0.7874;  PL data in figure 1</text>
  </threadedComment>
  <threadedComment ref="N1602" dT="2021-01-14T14:43:27.36" personId="{06DEDB07-59D1-417E-83D0-6B7F6C6F5DD5}" id="{705728C8-5693-4030-82ED-A5453E810C9B}">
    <text>estimated from BL-CL regression using Nolan 1991 (Jan 2021)</text>
  </threadedComment>
  <threadedComment ref="T1602" dT="2021-01-14T14:38:36.66" personId="{06DEDB07-59D1-417E-83D0-6B7F6C6F5DD5}" id="{75B8EBCF-1FA6-4D09-B302-FD62554785A1}">
    <text>estimated from egg regression database (Jan 2021)</text>
  </threadedComment>
  <threadedComment ref="T1604" dT="2020-10-12T14:00:34.85" personId="{9C2FB8A0-69AC-4C09-B3A4-DE31F95E4871}" id="{F0C7445E-6F52-43C0-8205-07EA5994ABAD}">
    <text>5.16g; estimated from egg regression database (Oct 2020)</text>
  </threadedComment>
  <threadedComment ref="T1605" dT="2020-10-12T14:00:34.85" personId="{9C2FB8A0-69AC-4C09-B3A4-DE31F95E4871}" id="{50F92951-09A2-4868-AB55-E910D37D06CD}">
    <text>5.16g; estimated from egg regression database (Oct 2020)</text>
  </threadedComment>
  <threadedComment ref="T1618" dT="2020-12-28T15:18:46.38" personId="{06DEDB07-59D1-417E-83D0-6B7F6C6F5DD5}" id="{6B534910-F7EB-4398-A3B3-F79C93647F53}">
    <text>estimated from our egg database using Iverson unpublised data (Dec 2020)</text>
  </threadedComment>
  <threadedComment ref="T1619" dT="2020-12-28T15:18:46.38" personId="{06DEDB07-59D1-417E-83D0-6B7F6C6F5DD5}" id="{EC6E592A-E6B3-4D12-8921-C4D6AEF68D68}">
    <text>estimated from our egg database using Iverson unpublised data (Dec 2020)</text>
  </threadedComment>
  <threadedComment ref="T1620" dT="2020-12-28T15:18:46.38" personId="{06DEDB07-59D1-417E-83D0-6B7F6C6F5DD5}" id="{A1CD4FBB-C077-4063-8779-F3E2E63D1268}">
    <text>estimated from our egg database using Iverson unpublised data (Dec 2020)</text>
  </threadedComment>
  <threadedComment ref="T1623" dT="2020-12-28T15:18:46.38" personId="{06DEDB07-59D1-417E-83D0-6B7F6C6F5DD5}" id="{E881796A-BD7B-48F6-A91F-F9D8C281EBC4}">
    <text>estimated from our egg database using Iverson unpublised data (Dec 2020)</text>
  </threadedComment>
  <threadedComment ref="T1624" dT="2020-12-28T15:18:46.38" personId="{06DEDB07-59D1-417E-83D0-6B7F6C6F5DD5}" id="{A955346B-3118-47CB-B20D-D468C93D82AF}">
    <text>estimated from our egg database using Iverson unpublised data (Dec 2020)</text>
  </threadedComment>
  <threadedComment ref="P1625" dT="2021-01-28T20:12:27.85" personId="{06DEDB07-59D1-417E-83D0-6B7F6C6F5DD5}" id="{6C393016-7DEC-49D7-8E0A-D4CCA8C67279}">
    <text>N = 2</text>
  </threadedComment>
  <threadedComment ref="R1625" dT="2020-09-23T13:53:33.36" personId="{9C2FB8A0-69AC-4C09-B3A4-DE31F95E4871}" id="{AB294FB2-1EC9-4408-8CD3-72CD13164070}">
    <text>estimated from our egg database (Sept 2020)</text>
  </threadedComment>
  <threadedComment ref="S1625" dT="2020-09-23T13:53:46.78" personId="{9C2FB8A0-69AC-4C09-B3A4-DE31F95E4871}" id="{151DBF25-44A1-490B-9009-A9DE6E30125F}">
    <text>estimated from our egg database (Sept 2020)</text>
  </threadedComment>
  <threadedComment ref="R1626" dT="2020-09-23T13:53:33.36" personId="{9C2FB8A0-69AC-4C09-B3A4-DE31F95E4871}" id="{E65BB738-FA0E-4B3D-8D3B-29A50E78A12E}">
    <text>estimated from our egg database (Sept 2020)</text>
  </threadedComment>
  <threadedComment ref="S1626" dT="2020-09-23T13:53:46.78" personId="{9C2FB8A0-69AC-4C09-B3A4-DE31F95E4871}" id="{8A47AFCD-535C-47E6-935D-CF43888980BB}">
    <text>estimated from our egg database (Sept 2020)</text>
  </threadedComment>
  <threadedComment ref="M1628" dT="2020-09-08T15:20:52.63" personId="{9C2FB8A0-69AC-4C09-B3A4-DE31F95E4871}" id="{C8424228-90F7-4E82-AAE0-845DAA51BED8}">
    <text>Pl = 8.2; CL estimated from PL/CL ratio for 113 females from Indiana at 0.7793 (Iverson unpublished)</text>
  </threadedComment>
  <threadedComment ref="N1628" dT="2020-03-10T14:01:02.57" personId="{9C2FB8A0-69AC-4C09-B3A4-DE31F95E4871}" id="{23F6E933-D474-4455-98BE-08954A99CBA0}">
    <text>Estimated from BM = 0.2473*CL^2.766 Mosimann 1956</text>
  </threadedComment>
  <threadedComment ref="N1629" dT="2020-03-10T14:01:02.57" personId="{9C2FB8A0-69AC-4C09-B3A4-DE31F95E4871}" id="{F577269C-9E55-4787-8AEC-CCC9F810DF4C}">
    <text>Estimated from BM = 0.2473*CL^2.766 Mosimann 1956</text>
  </threadedComment>
  <threadedComment ref="W1629" dT="2021-02-08T15:54:28.85" personId="{06DEDB07-59D1-417E-83D0-6B7F6C6F5DD5}" id="{D5922CFE-E57E-4220-A9FE-8A93E048DDE6}">
    <text>N = 1</text>
  </threadedComment>
  <threadedComment ref="T1630" dT="2020-10-12T14:01:37.27" personId="{9C2FB8A0-69AC-4C09-B3A4-DE31F95E4871}" id="{D63BB662-6A0F-4615-B392-8EE3E4BBB25C}">
    <text>estimated from egg regression database (Oct 2020)</text>
  </threadedComment>
  <threadedComment ref="N1632" dT="2020-03-10T14:01:02.57" personId="{9C2FB8A0-69AC-4C09-B3A4-DE31F95E4871}" id="{DB8F3040-49BD-4620-8E11-37970D794BC1}">
    <text>Estimated from BM = 0.2473*CL^2.766 Mosimann 1956</text>
  </threadedComment>
  <threadedComment ref="N1634" dT="2020-03-10T14:01:02.57" personId="{9C2FB8A0-69AC-4C09-B3A4-DE31F95E4871}" id="{AA2BFD10-C005-4557-AF43-D81DD20CFFD7}">
    <text>Estimated from BM = 0.2473*CL^2.766 Mosimann 1956</text>
  </threadedComment>
  <threadedComment ref="N1638" dT="2021-07-30T14:45:10.84" personId="{A274E469-7C18-426B-814C-E6A9C1902E17}" id="{4CCEC71B-5CC3-4F27-8EE0-88869145F789}">
    <text>estimated from our BM-CL regression database (July 2021)</text>
  </threadedComment>
  <threadedComment ref="T1638" dT="2021-07-30T14:45:56.96" personId="{A274E469-7C18-426B-814C-E6A9C1902E17}" id="{5C393FBB-7A15-471A-A158-1AEB49590597}">
    <text>estimated from our egg database for this species (July 2021)</text>
  </threadedComment>
  <threadedComment ref="N1643" dT="2020-03-10T14:01:50.30" personId="{9C2FB8A0-69AC-4C09-B3A4-DE31F95E4871}" id="{64C2BB79-E7E0-4762-AD1D-FA0477710A49}">
    <text>Estimated from BM = 0.1815*CL^2.766 Evermann and Clark 1916</text>
  </threadedComment>
  <threadedComment ref="V1643" dT="2020-03-31T18:23:43.12" personId="{BB9FA97D-30F9-450E-953B-CAF857939ABE}" id="{0139E27B-E49C-439B-BBE2-07748AD907F7}">
    <text>Card has 8.113g</text>
  </threadedComment>
  <threadedComment ref="N1644" dT="2020-03-10T14:01:50.30" personId="{9C2FB8A0-69AC-4C09-B3A4-DE31F95E4871}" id="{A4F6C974-6B2B-47BA-8422-EFACFB023650}">
    <text>Estimated from BM = 0.1815*CL^2.766 Evermann and Clark 1916</text>
  </threadedComment>
  <threadedComment ref="N1648" dT="2020-03-10T14:01:50.30" personId="{9C2FB8A0-69AC-4C09-B3A4-DE31F95E4871}" id="{7E2C1E9A-0D36-4EAF-A280-859116D8C649}">
    <text>Estimated from BM = 0.1815*CL^2.766 Evermann and Clark 1916</text>
  </threadedComment>
  <threadedComment ref="T1648" dT="2020-10-12T14:01:37.27" personId="{9C2FB8A0-69AC-4C09-B3A4-DE31F95E4871}" id="{922D0E20-7263-4DDE-89B2-2ED3564EF042}">
    <text>estimated from egg regression database (Oct 2020)</text>
  </threadedComment>
  <threadedComment ref="T1654" dT="2020-12-28T15:20:28.13" personId="{06DEDB07-59D1-417E-83D0-6B7F6C6F5DD5}" id="{0A24250B-A0F0-4F3B-A3C0-65ECCD67F819}">
    <text>reported 2-4</text>
  </threadedComment>
  <threadedComment ref="M1659" dT="2020-09-08T15:20:52.63" personId="{9C2FB8A0-69AC-4C09-B3A4-DE31F95E4871}" id="{73502450-1FFE-46F3-A860-0EE0457D737E}">
    <text>Pl = 7.82; CL estimated from PL/CL ratio for 113 females from Indiana at 0.7793 (Iverson unpublished)</text>
  </threadedComment>
  <threadedComment ref="N1659" dT="2020-03-10T14:01:02.57" personId="{9C2FB8A0-69AC-4C09-B3A4-DE31F95E4871}" id="{E925D657-D7CF-43BB-9EFB-A1336252E356}">
    <text>Estimated from BM = 0.2473*CL^2.766 Mosimann 1956</text>
  </threadedComment>
  <threadedComment ref="T1659" dT="2020-04-01T20:30:16.30" personId="{BB9FA97D-30F9-450E-953B-CAF857939ABE}" id="{C8BD5085-9CE0-41F9-B833-D8664C75FA50}">
    <text>estimated from y = 0.6189x - 5.6106 IVerson unpublished data</text>
  </threadedComment>
  <threadedComment ref="N1661" dT="2021-07-30T14:37:41.83" personId="{A274E469-7C18-426B-814C-E6A9C1902E17}" id="{E9A02996-5EA7-435B-BC0C-8A49C2A8B360}">
    <text>estimated from BM-CL relationship database (July 2021)</text>
  </threadedComment>
  <threadedComment ref="T1661" dT="2021-07-30T14:38:52.20" personId="{A274E469-7C18-426B-814C-E6A9C1902E17}" id="{6DE3F1A6-4211-4107-B73F-5E8AA4C7DD27}">
    <text>estimated from egg database using S. minor (July 2021)</text>
  </threadedComment>
  <threadedComment ref="T1665" dT="2021-02-08T17:02:31.67" personId="{06DEDB07-59D1-417E-83D0-6B7F6C6F5DD5}" id="{E34983D2-0FED-4FE9-8ADC-29904F53B8D1}">
    <text>used the EL-EM plot/simple regression for subniger</text>
  </threadedComment>
  <threadedComment ref="T1666" dT="2021-03-08T13:35:54.12" personId="{06DEDB07-59D1-417E-83D0-6B7F6C6F5DD5}" id="{F3D8CEFF-EAB0-44BD-BBF7-46BE323AFE91}">
    <text>estimated from our egg database</text>
  </threadedComment>
  <threadedComment ref="T1670" dT="2020-08-03T18:27:06.75" personId="{9C2FB8A0-69AC-4C09-B3A4-DE31F95E4871}" id="{304389CC-5341-42E3-9F34-147DF8D8D13F}">
    <text>estimated from egg dataset using P. subrufa</text>
  </threadedComment>
  <threadedComment ref="T1671" dT="2020-09-28T12:29:39.34" personId="{9C2FB8A0-69AC-4C09-B3A4-DE31F95E4871}" id="{7C873286-3369-4217-B670-F50ED296CC84}">
    <text>Estimated from our egg regression dataset using subrufa</text>
  </threadedComment>
  <threadedComment ref="T1672" dT="2020-08-03T18:27:06.75" personId="{9C2FB8A0-69AC-4C09-B3A4-DE31F95E4871}" id="{4C06D23E-4D51-49AA-9AB4-30059BEE02D1}">
    <text>estimated from egg dataset using P. subrufa</text>
  </threadedComment>
  <threadedComment ref="T1675" dT="2020-10-12T14:03:20.05" personId="{9C2FB8A0-69AC-4C09-B3A4-DE31F95E4871}" id="{46F0B604-E7BC-4051-ADF2-7DEBE3B637A6}">
    <text>estimated from egg regression database (Oct 2020)</text>
  </threadedComment>
  <threadedComment ref="N1677" dT="2020-08-26T18:13:52.71" personId="{9C2FB8A0-69AC-4C09-B3A4-DE31F95E4871}" id="{CCA8FEC8-B7F2-47A5-952C-B7B84042036C}">
    <text>estimated from BM-CL regression from Diagne and McGovern pers. communication (Aug 2020)</text>
  </threadedComment>
  <threadedComment ref="N1679" dT="2020-08-26T18:13:52.71" personId="{9C2FB8A0-69AC-4C09-B3A4-DE31F95E4871}" id="{8EC4116F-48BF-4D0B-AA4F-DC2FCB8F0B5B}">
    <text>estimated from BM-CL regression from Diagne and McGovern pers. communication (Aug 2020)</text>
  </threadedComment>
  <threadedComment ref="R1679" dT="2021-01-25T17:19:07.41" personId="{06DEDB07-59D1-417E-83D0-6B7F6C6F5DD5}" id="{B6DF13EC-084C-48F8-807D-6CF222748E42}">
    <text>estimated from 29.5-33 range by taking median</text>
  </threadedComment>
  <threadedComment ref="S1679" dT="2021-01-25T17:20:51.90" personId="{06DEDB07-59D1-417E-83D0-6B7F6C6F5DD5}" id="{A3A7159C-BD45-450D-85AD-58783E24F697}">
    <text>estimated from 18-19 by taking median</text>
  </threadedComment>
  <threadedComment ref="R1681" dT="2021-02-08T16:52:36.73" personId="{06DEDB07-59D1-417E-83D0-6B7F6C6F5DD5}" id="{ED267FC7-E904-46E7-AEBC-E2228444CB95}">
    <text>estimated from Fig 16 in paper; range in text clearly erroneous; 21-23</text>
  </threadedComment>
  <threadedComment ref="S1681" dT="2021-02-08T16:53:00.70" personId="{06DEDB07-59D1-417E-83D0-6B7F6C6F5DD5}" id="{CD6D6EF2-5BC6-4813-B265-A205562472E5}">
    <text>estimated from Fig 16 in paper; range in text clearly erroneous; 13-15</text>
  </threadedComment>
  <threadedComment ref="T1682" dT="2020-08-03T18:27:06.75" personId="{9C2FB8A0-69AC-4C09-B3A4-DE31F95E4871}" id="{AE916BE6-640E-4DE8-BBE6-46F0C550AD97}">
    <text>estimated from egg dataset using P. subrufa</text>
  </threadedComment>
  <threadedComment ref="R1683" dT="2020-12-28T15:20:58.51" personId="{06DEDB07-59D1-417E-83D0-6B7F6C6F5DD5}" id="{42EF51EE-49FA-4438-A142-4D4A5A14D397}">
    <text>reported 36-39</text>
  </threadedComment>
  <threadedComment ref="S1683" dT="2020-12-28T15:21:05.37" personId="{06DEDB07-59D1-417E-83D0-6B7F6C6F5DD5}" id="{A5AA53EC-C4F5-4A61-BC85-2FA45E2211A8}">
    <text>reported 21-26</text>
  </threadedComment>
  <threadedComment ref="T1683" dT="2020-09-29T16:32:52.10" personId="{9C2FB8A0-69AC-4C09-B3A4-DE31F95E4871}" id="{5D887BA5-522A-4687-BAF3-DDB62FA93EF6}">
    <text>estimated from egg regression database</text>
  </threadedComment>
  <threadedComment ref="T1683" dT="2020-12-28T15:21:19.43" personId="{06DEDB07-59D1-417E-83D0-6B7F6C6F5DD5}" id="{BEB9A547-68B3-4E70-87F9-DE5B28CB4E82}" parentId="{5D887BA5-522A-4687-BAF3-DDB62FA93EF6}">
    <text>reported 9.47-13.43</text>
  </threadedComment>
  <threadedComment ref="T1688" dT="2020-09-24T12:57:32.45" personId="{9C2FB8A0-69AC-4C09-B3A4-DE31F95E4871}" id="{142FF9FA-77FB-401F-AF91-9FB9B891A7C2}">
    <text>estimated from our egg regression database using P. subniger (SEPT 2020)</text>
  </threadedComment>
  <threadedComment ref="T1690" dT="2020-09-24T12:57:32.45" personId="{9C2FB8A0-69AC-4C09-B3A4-DE31F95E4871}" id="{EDC9D6F5-1B2C-4C44-8A30-E364161B84E7}">
    <text>estimated from our egg regression database using P. sinuatus (Oct 2020)</text>
  </threadedComment>
  <threadedComment ref="O1691" dT="2022-02-13T14:04:17.90" personId="{4E95C416-F42E-44F8-BD76-9627AA3B78BA}" id="{315B0CC0-095C-42FA-92F1-AD8FED611AED}">
    <text>2-3 reported</text>
  </threadedComment>
  <threadedComment ref="T1694" dT="2020-12-28T16:21:53.98" personId="{06DEDB07-59D1-417E-83D0-6B7F6C6F5DD5}" id="{0A8C4FB7-9081-49E0-9AF0-CAC4FFBEE56F}">
    <text>estimated from our egg regression database using Pelusios sinuatus (DEC 2020)</text>
  </threadedComment>
  <threadedComment ref="P1699" dT="2021-03-01T17:21:47.79" personId="{06DEDB07-59D1-417E-83D0-6B7F6C6F5DD5}" id="{BFEF1359-5007-4610-8BE8-AFE094892D68}">
    <text>6-10</text>
  </threadedComment>
  <threadedComment ref="R1700" dT="2021-01-25T17:52:06.42" personId="{06DEDB07-59D1-417E-83D0-6B7F6C6F5DD5}" id="{06489FA1-02C8-4BAD-AE88-1C98F3ED791B}">
    <text>estimated at 35</text>
  </threadedComment>
  <threadedComment ref="T1700" dT="2020-09-30T16:41:11.33" personId="{9C2FB8A0-69AC-4C09-B3A4-DE31F95E4871}" id="{B0B77C63-D19C-4827-B1FE-CC3D837677E2}">
    <text>estimated from egg regression database using P. subniger  (Ewert pers. comm.)</text>
  </threadedComment>
  <threadedComment ref="N1701" dT="2021-02-15T19:27:13.97" personId="{06DEDB07-59D1-417E-83D0-6B7F6C6F5DD5}" id="{7004FDE9-E4C4-496F-B6DE-DED1841FA0C0}">
    <text>estimated from cross-population means for this genus</text>
  </threadedComment>
  <threadedComment ref="S1701" dT="2021-01-25T17:38:07.14" personId="{06DEDB07-59D1-417E-83D0-6B7F6C6F5DD5}" id="{4DC4A129-6163-4EDB-804A-D527473998D8}">
    <text>estimated from 22-23 by taking median</text>
  </threadedComment>
  <threadedComment ref="N1702" dT="2021-02-15T19:27:13.97" personId="{06DEDB07-59D1-417E-83D0-6B7F6C6F5DD5}" id="{F66A54CE-5C9A-4617-A6A2-D75BAD831BAB}">
    <text>estimated from cross-population means for this genus</text>
  </threadedComment>
  <threadedComment ref="M1705" dT="2021-02-08T15:56:44.74" personId="{06DEDB07-59D1-417E-83D0-6B7F6C6F5DD5}" id="{BE545909-461D-4D43-BBF2-F2CEA39E78DD}">
    <text>about 40 cm CL</text>
  </threadedComment>
  <threadedComment ref="O1707" dT="2022-02-13T13:58:00.19" personId="{4E95C416-F42E-44F8-BD76-9627AA3B78BA}" id="{8668BC1E-AA08-4B31-8AD2-3FD72E1D3548}">
    <text>4-5 reported</text>
  </threadedComment>
  <threadedComment ref="T1718" dT="2020-08-03T18:41:53.20" personId="{9C2FB8A0-69AC-4C09-B3A4-DE31F95E4871}" id="{474B8A51-2A19-454C-AE4A-6861DA4304FC}">
    <text>estimated from egg dataset using P. subniger</text>
  </threadedComment>
  <threadedComment ref="M1721" dT="2021-01-22T15:49:47.63" personId="{06DEDB07-59D1-417E-83D0-6B7F6C6F5DD5}" id="{3274E325-5E3D-4C3C-BDCB-E6934AF9C270}">
    <text>estimated from log-log regression from our database.</text>
  </threadedComment>
  <threadedComment ref="N1723" dT="2021-02-03T16:24:47.68" personId="{06DEDB07-59D1-417E-83D0-6B7F6C6F5DD5}" id="{CDFF1A7E-8844-43A5-8B56-6369B3428E2B}">
    <text>estimated from BM = 0.0004357*CL^2.8033 via Gong et al. (2019)</text>
  </threadedComment>
  <threadedComment ref="T1724" dT="2020-08-03T18:41:53.20" personId="{9C2FB8A0-69AC-4C09-B3A4-DE31F95E4871}" id="{1CA142E6-47AC-4C70-BF36-C517953E8A81}">
    <text>estimated from egg dataset using P. subniger</text>
  </threadedComment>
  <threadedComment ref="M1725" dT="2020-04-01T18:04:16.46" personId="{BB9FA97D-30F9-450E-953B-CAF857939ABE}" id="{E11FEEF1-CBBC-44D0-A0E2-353FB31FD0CE}">
    <text>estimated from BM = 0.0004357*CL^2.8033 via Gong et al. (2019)</text>
  </threadedComment>
  <threadedComment ref="T1725" dT="2021-01-25T17:41:51.84" personId="{06DEDB07-59D1-417E-83D0-6B7F6C6F5DD5}" id="{4233E609-A706-4BD2-B8AE-4E38FFBDF0B7}">
    <text>estimated from 10-12 by taking median</text>
  </threadedComment>
  <threadedComment ref="I1726" dT="2021-01-21T18:05:14.09" personId="{06DEDB07-59D1-417E-83D0-6B7F6C6F5DD5}" id="{CBCE7882-0944-48AE-8DFB-F67D770E9E15}">
    <text>estimated ca. -16</text>
  </threadedComment>
  <threadedComment ref="T1730" dT="2020-08-28T18:41:03.11" personId="{9C2FB8A0-69AC-4C09-B3A4-DE31F95E4871}" id="{82E171E9-8DD1-4E72-A93F-9AA9341C16A1}">
    <text>estimated from regressions from our egg database using P. sextuberculata</text>
  </threadedComment>
  <threadedComment ref="N1732" dT="2022-01-23T17:41:48.93" personId="{4E95C416-F42E-44F8-BD76-9627AA3B78BA}" id="{75E77345-2D62-44DB-A62D-C58CD9014863}">
    <text>Reported BM of 3600 has to an error, so removed.</text>
  </threadedComment>
  <threadedComment ref="N1733" dT="2021-03-25T12:26:30.79" personId="{06DEDB07-59D1-417E-83D0-6B7F6C6F5DD5}" id="{D44462E0-0764-4509-BD20-BF53FC98F5D7}">
    <text>Our BM-CL regression database using P. expansa from Pezzuti et al. 2008 under estimated BM</text>
  </threadedComment>
  <threadedComment ref="N1733" dT="2022-01-23T17:39:26.17" personId="{4E95C416-F42E-44F8-BD76-9627AA3B78BA}" id="{9B35DDDC-31CB-4888-8BF8-032DFF29D304}" parentId="{D44462E0-0764-4509-BD20-BF53FC98F5D7}">
    <text>Estimated from BM-CL regression database using data from de la Ossa-Velasquez (2007).</text>
  </threadedComment>
  <threadedComment ref="R1733" dT="2020-12-28T15:22:35.28" personId="{06DEDB07-59D1-417E-83D0-6B7F6C6F5DD5}" id="{D1625D6E-D38E-4EB3-BA94-300EDF85B8DF}">
    <text>reported 57.5-59.5</text>
  </threadedComment>
  <threadedComment ref="S1733" dT="2020-12-28T15:22:43.28" personId="{06DEDB07-59D1-417E-83D0-6B7F6C6F5DD5}" id="{84CCC690-4934-4949-A6F6-1EFE0418B7F6}">
    <text>reported 33-34</text>
  </threadedComment>
  <threadedComment ref="T1733" dT="2020-12-28T15:22:51.67" personId="{06DEDB07-59D1-417E-83D0-6B7F6C6F5DD5}" id="{CD8AD304-EF65-4595-B74C-21B0CFB6469D}">
    <text>reported 40.7-42.8</text>
  </threadedComment>
  <threadedComment ref="N1734" dT="2021-03-25T12:26:30.79" personId="{06DEDB07-59D1-417E-83D0-6B7F6C6F5DD5}" id="{D93ECC95-D912-4669-814C-1A44B9AD262A}">
    <text>Our BM-CL regression database using P. expansa from Pezzuti et al. 2008 under estimated BM</text>
  </threadedComment>
  <threadedComment ref="N1734" dT="2022-01-23T17:39:26.17" personId="{4E95C416-F42E-44F8-BD76-9627AA3B78BA}" id="{2A55B50B-CC66-4C4F-9ECC-5563626597DC}" parentId="{D93ECC95-D912-4669-814C-1A44B9AD262A}">
    <text>Estimated from BM-CL regression database using data from de la Ossa-Velasquez (2007).</text>
  </threadedComment>
  <threadedComment ref="W1734" dT="2021-02-08T17:06:08.47" personId="{06DEDB07-59D1-417E-83D0-6B7F6C6F5DD5}" id="{7058B891-A428-47BA-B9DC-057ED48F4CA5}">
    <text>estimated RCM value from publication is suspect and not included</text>
  </threadedComment>
  <threadedComment ref="W1734" dT="2022-01-23T17:40:41.43" personId="{4E95C416-F42E-44F8-BD76-9627AA3B78BA}" id="{5CFCE282-2409-4546-BEA5-E5F804D8B3BB}" parentId="{7058B891-A428-47BA-B9DC-057ED48F4CA5}">
    <text>New estimate is good.</text>
  </threadedComment>
  <threadedComment ref="T1742" dT="2020-12-28T16:24:30.10" personId="{06DEDB07-59D1-417E-83D0-6B7F6C6F5DD5}" id="{9CBA80B4-C47E-4DFF-AE18-D7843EFCC320}">
    <text>estimated from our egg regression database using Podocnemis sextuberculata (Dec 2020)</text>
  </threadedComment>
  <threadedComment ref="S1751" dT="2020-10-08T13:22:06.60" personId="{9C2FB8A0-69AC-4C09-B3A4-DE31F95E4871}" id="{A0426AEE-AA66-4CAD-9298-45AA6D205348}">
    <text>assuming eggs spherical</text>
  </threadedComment>
  <threadedComment ref="T1751" dT="2020-10-08T13:24:13.68" personId="{9C2FB8A0-69AC-4C09-B3A4-DE31F95E4871}" id="{A874309E-715D-4131-9A92-123E4B8A18A8}">
    <text>estimated from egg regression database (Oct 2020)</text>
  </threadedComment>
  <threadedComment ref="N1753" dT="2020-05-27T10:55:08.47" personId="{BB9FA97D-30F9-450E-953B-CAF857939ABE}" id="{A48C7E62-F55F-42A7-8839-61D5C3862D44}">
    <text>Spent BM; gravid body mass was calculated by adding SBM and CM</text>
  </threadedComment>
  <threadedComment ref="N1757" dT="2020-07-09T17:05:28.51" personId="{9C2FB8A0-69AC-4C09-B3A4-DE31F95E4871}" id="{0568312E-9D22-4B78-85D0-F25CB8019C33}">
    <text>estimated from regression (BM = "371.8954*exp(0.0063*CL)") from Pezzuti et al. 2008 (July 2020)</text>
  </threadedComment>
  <threadedComment ref="T1757" dT="2020-09-29T16:38:21.39" personId="{9C2FB8A0-69AC-4C09-B3A4-DE31F95E4871}" id="{70E000B2-0F1F-4A9F-94BD-A1F04493C077}">
    <text>estimated from egg regression database (Sept 2020)</text>
  </threadedComment>
  <threadedComment ref="N1765" dT="2020-07-09T17:05:28.51" personId="{9C2FB8A0-69AC-4C09-B3A4-DE31F95E4871}" id="{6C103A27-F5B1-4505-9112-86F3F032FFE4}">
    <text>estimated from regression (BM = "371.8954*exp(0.0063*CL)") from Pezzuti et al. 2008 (July 2020)</text>
  </threadedComment>
  <threadedComment ref="M1766" dT="2020-07-09T17:12:40.70" personId="{9C2FB8A0-69AC-4C09-B3A4-DE31F95E4871}" id="{A03BC617-0CF6-45ED-A611-C0519D8D4972}">
    <text>estimated from regression (BM = "371.8954*exp(0.0063*CL)") from Pezzuti et al. 2008 (July 2020)</text>
  </threadedComment>
  <threadedComment ref="M1767" dT="2020-07-09T17:12:44.25" personId="{9C2FB8A0-69AC-4C09-B3A4-DE31F95E4871}" id="{C0F9E1AC-8B3B-4899-AE93-02CD440B754B}">
    <text>estimated from regression (BM = "371.8954*exp(0.0063*CL)") from Pezzuti et al. 2008 (July 2020)</text>
  </threadedComment>
  <threadedComment ref="N1769" dT="2020-07-09T17:05:28.51" personId="{9C2FB8A0-69AC-4C09-B3A4-DE31F95E4871}" id="{5E75BF35-776F-46B3-8088-A4E5EDFA7BFB}">
    <text>estimated from regression (BM = "371.8954*exp(0.0063*CL)") from Pezzuti et al. 2008 (July 2020)</text>
  </threadedComment>
  <threadedComment ref="I1778" dT="2021-01-25T17:03:44.66" personId="{06DEDB07-59D1-417E-83D0-6B7F6C6F5DD5}" id="{440F2BB5-C653-46E1-9D7C-A5418D44D0DE}">
    <text>estimated ca. 8.5</text>
  </threadedComment>
  <threadedComment ref="N1779" dT="2020-03-09T17:49:42.58" personId="{9C2FB8A0-69AC-4C09-B3A4-DE31F95E4871}" id="{B9837544-B801-404A-B881-461460B23F52}">
    <text>Estimated from BM = 0.2070*CL^2.783 calculated from P. unifilis (Smith 1979)</text>
  </threadedComment>
  <threadedComment ref="P1783" dT="2021-01-25T17:16:51.32" personId="{06DEDB07-59D1-417E-83D0-6B7F6C6F5DD5}" id="{370723B0-02DD-4578-96A7-4EEBF06D536C}">
    <text>estimated ca. 25</text>
  </threadedComment>
  <threadedComment ref="T1783" dT="2020-09-30T16:37:54.86" personId="{9C2FB8A0-69AC-4C09-B3A4-DE31F95E4871}" id="{C981012D-377E-403D-92CE-06628FE5C8D9}">
    <text>estimated from egg regression database using P. expansa (A. Paolillo  pers. comm.)</text>
  </threadedComment>
  <threadedComment ref="M1791" dT="2021-02-15T19:23:53.28" personId="{06DEDB07-59D1-417E-83D0-6B7F6C6F5DD5}" id="{E2EB8FC1-EFEE-4275-9DB7-01AD617BD59C}">
    <text>estimated from cross-population means for this species</text>
  </threadedComment>
  <threadedComment ref="M1792" dT="2021-02-15T19:24:08.84" personId="{06DEDB07-59D1-417E-83D0-6B7F6C6F5DD5}" id="{64403CB1-0309-434B-B3B3-8901C7359F93}">
    <text>estimated from cross-population means for this species</text>
  </threadedComment>
  <threadedComment ref="I1795" dT="2021-01-21T18:06:00.65" personId="{06DEDB07-59D1-417E-83D0-6B7F6C6F5DD5}" id="{0E3A48AE-E517-48E6-8354-EE633FFF4A73}">
    <text>estimated ca. 0</text>
  </threadedComment>
  <threadedComment ref="I1796" dT="2021-01-21T18:06:00.65" personId="{06DEDB07-59D1-417E-83D0-6B7F6C6F5DD5}" id="{F9493178-ADDC-450F-A886-89BF3D8566A9}">
    <text>estimated ca. 0</text>
  </threadedComment>
  <threadedComment ref="I1800" dT="2021-01-21T18:06:29.16" personId="{06DEDB07-59D1-417E-83D0-6B7F6C6F5DD5}" id="{8ED5199F-9CD6-49CC-82CC-BAF3AF7C364F}">
    <text>estimated ca. 5.5</text>
  </threadedComment>
  <threadedComment ref="N1801" dT="2020-03-09T17:49:42.58" personId="{9C2FB8A0-69AC-4C09-B3A4-DE31F95E4871}" id="{3E3675E9-B238-4535-9DDE-0CD266EB4BFA}">
    <text>Estimated from BM-CL regression database using Mioranda 2016</text>
  </threadedComment>
  <threadedComment ref="N1815" dT="2020-03-09T17:49:42.58" personId="{9C2FB8A0-69AC-4C09-B3A4-DE31F95E4871}" id="{1EA0C109-1AC9-4D77-953A-682FD817FCFD}">
    <text>Estimated from BM-CL regression database using Mioranda 2016</text>
  </threadedComment>
  <threadedComment ref="P1815" dT="2021-01-25T17:13:39.88" personId="{06DEDB07-59D1-417E-83D0-6B7F6C6F5DD5}" id="{35D84797-638B-4FC4-97DB-3C7E5B2C7380}">
    <text>estimated from 11-32 by taking the median</text>
  </threadedComment>
  <threadedComment ref="M1817" dT="2020-03-09T17:49:42.58" personId="{9C2FB8A0-69AC-4C09-B3A4-DE31F95E4871}" id="{52606E8A-237B-489B-BAB7-4ACF59838460}">
    <text>Estimated from BM-CL regression database using Mioranda 2016</text>
  </threadedComment>
  <threadedComment ref="M1820" dT="2020-03-09T17:49:42.58" personId="{9C2FB8A0-69AC-4C09-B3A4-DE31F95E4871}" id="{96663196-01EA-4E7B-B23B-B0E87F3968C0}">
    <text>Estimated from BM-CL regression database using Mioranda 2016</text>
  </threadedComment>
  <threadedComment ref="W1824" dT="2021-02-08T16:50:19.79" personId="{06DEDB07-59D1-417E-83D0-6B7F6C6F5DD5}" id="{0E596C2D-34B7-41A4-B95C-2C53EFD88338}">
    <text>RCM of 23% reported in paper was a calculation error</text>
  </threadedComment>
  <threadedComment ref="N1827" dT="2020-09-29T14:56:19.61" personId="{9C2FB8A0-69AC-4C09-B3A4-DE31F95E4871}" id="{72398D56-4377-4A33-BD7C-D28937C5A527}">
    <text>estimated from BM-CL regression database using Alarcon Pardo 1969</text>
  </threadedComment>
  <threadedComment ref="M1829" dT="2021-03-19T17:32:43.18" personId="{06DEDB07-59D1-417E-83D0-6B7F6C6F5DD5}" id="{97C2BBC7-410C-493A-938B-1F1349EDC867}">
    <text>estimated from Fig 2 in original paper</text>
  </threadedComment>
  <threadedComment ref="N1829" dT="2021-03-19T17:33:48.23" personId="{06DEDB07-59D1-417E-83D0-6B7F6C6F5DD5}" id="{B8BEA227-2059-4B0F-95A9-29076C7E64AE}">
    <text>estimated from BM-CL equation from Aworer and Ramchum (2003)</text>
  </threadedComment>
  <threadedComment ref="N1833" dT="2020-07-09T17:17:25.07" personId="{9C2FB8A0-69AC-4C09-B3A4-DE31F95E4871}" id="{B515DDBA-5AF3-48DF-8C73-880689E564E3}">
    <text>estimated from BM = 8.278*CL^2.1149 via Aworer and Ramchurn (2003) (July 2020)</text>
  </threadedComment>
  <threadedComment ref="M1834" dT="2021-01-28T19:58:20.03" personId="{06DEDB07-59D1-417E-83D0-6B7F6C6F5DD5}" id="{BF331509-E3C3-4C6B-8E84-988B2F7D6583}">
    <text>CCL = 87; used CCL/SCL ratio from 1.3151 from Gerlach (2004)</text>
  </threadedComment>
  <threadedComment ref="M1841" dT="2021-02-15T19:46:34.26" personId="{06DEDB07-59D1-417E-83D0-6B7F6C6F5DD5}" id="{F1BE9DAC-80D3-4A6A-AC60-5CCB66005588}">
    <text>estimated from cross-population means using species</text>
  </threadedComment>
  <threadedComment ref="M1842" dT="2021-02-15T19:46:34.26" personId="{06DEDB07-59D1-417E-83D0-6B7F6C6F5DD5}" id="{F1E5644A-0860-4458-B5F6-0162E02AC2D4}">
    <text>estimated from cross-population means using species</text>
  </threadedComment>
  <threadedComment ref="M1843" dT="2021-02-15T19:46:34.26" personId="{06DEDB07-59D1-417E-83D0-6B7F6C6F5DD5}" id="{577AAF47-BBA3-45F8-88EE-A18ADBF8E9FA}">
    <text>estimated from cross-population means using species</text>
  </threadedComment>
  <threadedComment ref="R1844" dT="2020-12-28T15:23:39.45" personId="{06DEDB07-59D1-417E-83D0-6B7F6C6F5DD5}" id="{B91D2AFD-A4C5-4AED-A927-3C721803FD05}">
    <text>reported 37.5-44.1</text>
  </threadedComment>
  <threadedComment ref="S1844" dT="2020-12-28T15:23:56.82" personId="{06DEDB07-59D1-417E-83D0-6B7F6C6F5DD5}" id="{DD9FA5AD-2CD5-42D0-BF58-B5DF16DD99C6}">
    <text>reported 36.5-40.2</text>
  </threadedComment>
  <threadedComment ref="S1853" dT="2021-01-25T17:34:57.74" personId="{06DEDB07-59D1-417E-83D0-6B7F6C6F5DD5}" id="{0A822FAE-368C-4FDD-B169-E38AA5C26A5A}">
    <text>estimated from 32-36 by taking median</text>
  </threadedComment>
  <threadedComment ref="R1856" dT="2020-12-28T15:24:22.77" personId="{06DEDB07-59D1-417E-83D0-6B7F6C6F5DD5}" id="{7AEB11CD-1E65-4692-AB7E-C8C770B90907}">
    <text>reported 42.8-47.5</text>
  </threadedComment>
  <threadedComment ref="S1856" dT="2020-12-28T15:24:22.77" personId="{06DEDB07-59D1-417E-83D0-6B7F6C6F5DD5}" id="{BDF2161C-EEF1-46CD-96EF-C56401D0E9AA}">
    <text>reported 42.8-47.5</text>
  </threadedComment>
  <threadedComment ref="T1858" dT="2020-10-16T14:10:04.89" personId="{9C2FB8A0-69AC-4C09-B3A4-DE31F95E4871}" id="{63D7C453-F276-4ED6-9B27-8E5B745B7417}">
    <text>estimated from egg regression database (Oct 2020)</text>
  </threadedComment>
  <threadedComment ref="M1860" dT="2020-04-01T18:17:30.05" personId="{BB9FA97D-30F9-450E-953B-CAF857939ABE}" id="{BDD9FAFD-58AD-48C3-84B1-182D714E3CA0}">
    <text>estimated from BM = 0.0007247*CL^2.7778 via Cloudsley-Thompson 1970; Meek and Avery 1988</text>
  </threadedComment>
  <threadedComment ref="M1861" dT="2020-04-01T18:17:30.05" personId="{BB9FA97D-30F9-450E-953B-CAF857939ABE}" id="{80F7B750-EF26-4E88-BD2B-D797AB16E7F6}">
    <text>estimated from BM = 0.0007247*CL^2.7778 via Cloudsley-Thompson 1970; Meek and Avery 1988</text>
  </threadedComment>
  <threadedComment ref="S1865" dT="2020-04-01T20:36:21.70" personId="{BB9FA97D-30F9-450E-953B-CAF857939ABE}" id="{0E991535-6E3B-4AD3-A3B5-70C4683C6B44}">
    <text>estimated from y = 1.0376x + 1.9135 Iverson unpublished data</text>
  </threadedComment>
  <threadedComment ref="T1873" dT="2020-10-12T14:04:38.91" personId="{9C2FB8A0-69AC-4C09-B3A4-DE31F95E4871}" id="{B99EDEAA-F872-4BB5-AE46-C1EC0C49A2CE}">
    <text>estimated from egg regression database (Oct 2020)</text>
  </threadedComment>
  <threadedComment ref="T1874" dT="2020-10-12T14:04:38.91" personId="{9C2FB8A0-69AC-4C09-B3A4-DE31F95E4871}" id="{99F4FF9A-B94A-4947-B8E8-C60666F5D937}">
    <text>estimated from egg regression database (Oct 2020)</text>
  </threadedComment>
  <threadedComment ref="T1875" dT="2020-10-12T14:04:38.91" personId="{9C2FB8A0-69AC-4C09-B3A4-DE31F95E4871}" id="{E2E4AD69-A063-468D-955B-434A800E894A}">
    <text>estimated from egg regression database (Oct 2020)</text>
  </threadedComment>
  <threadedComment ref="T1876" dT="2021-01-25T17:45:55.28" personId="{06DEDB07-59D1-417E-83D0-6B7F6C6F5DD5}" id="{6DF5A443-E075-4D3F-B096-A3F2886B2F8B}">
    <text>estimated from 35-50 by taking median</text>
  </threadedComment>
  <threadedComment ref="R1877" dT="2020-12-28T15:24:51.82" personId="{06DEDB07-59D1-417E-83D0-6B7F6C6F5DD5}" id="{86CE50A8-01BB-492A-98A9-4138BFEAF0E8}">
    <text>reported 43-48</text>
  </threadedComment>
  <threadedComment ref="T1877" dT="2021-01-25T17:46:12.51" personId="{06DEDB07-59D1-417E-83D0-6B7F6C6F5DD5}" id="{9933EB2E-F60E-4C03-9A93-0BD34AD7F247}">
    <text>estimated from 40-50 by taking median</text>
  </threadedComment>
  <threadedComment ref="T1881" dT="2020-10-12T14:04:38.91" personId="{9C2FB8A0-69AC-4C09-B3A4-DE31F95E4871}" id="{E8589C8A-7BA6-4903-AA40-D04ADE5EA6C8}">
    <text>estimated from egg regression database (Oct 2020)</text>
  </threadedComment>
  <threadedComment ref="T1882" dT="2020-10-12T14:04:38.91" personId="{9C2FB8A0-69AC-4C09-B3A4-DE31F95E4871}" id="{1DB19C79-6CD4-4E2C-AC39-EADE5873C1D1}">
    <text>estimated from egg regression database (Oct 2020)</text>
  </threadedComment>
  <threadedComment ref="T1885" dT="2020-10-12T14:04:38.91" personId="{9C2FB8A0-69AC-4C09-B3A4-DE31F95E4871}" id="{7B79B39B-6297-4259-9F98-82DA0B9B17BF}">
    <text>estimated from egg regression database (Oct 2020)</text>
  </threadedComment>
  <threadedComment ref="N1888" dT="2020-07-09T17:56:32.78" personId="{9C2FB8A0-69AC-4C09-B3A4-DE31F95E4871}" id="{293C17DE-35A4-4C8F-8671-23D9191BD00A}">
    <text>estimated from BM-CL regression database from Buskirk 1993
(July 2020)</text>
  </threadedComment>
  <threadedComment ref="T1888" dT="2020-07-30T18:19:57.43" personId="{9C2FB8A0-69AC-4C09-B3A4-DE31F95E4871}" id="{DC559B70-E5C0-42CB-8436-A2A52D3F5689}">
    <text>"estimated from the egg dataset using C. carbonaria
Originally 34.3 g</text>
  </threadedComment>
  <threadedComment ref="P1889" dT="2021-01-25T17:13:09.01" personId="{06DEDB07-59D1-417E-83D0-6B7F6C6F5DD5}" id="{65FF2CE0-D8F9-43A8-948D-ED84BEA855E8}">
    <text>estimated ca. 2</text>
  </threadedComment>
  <threadedComment ref="T1890" dT="2020-07-30T18:19:57.43" personId="{9C2FB8A0-69AC-4C09-B3A4-DE31F95E4871}" id="{99164A8B-F98B-4DC3-BD36-237E70133088}">
    <text>"estimated from the egg dataset using S. pardalis data in Visser 1989"</text>
  </threadedComment>
  <threadedComment ref="T1891" dT="2020-07-30T18:19:57.43" personId="{9C2FB8A0-69AC-4C09-B3A4-DE31F95E4871}" id="{83B22612-4FFA-4CFB-8EAB-A39FD056ACCE}">
    <text>"estimated from the egg dataset using S. pardalis data in Visser 1989"</text>
  </threadedComment>
  <threadedComment ref="T1894" dT="2020-07-30T18:19:57.43" personId="{9C2FB8A0-69AC-4C09-B3A4-DE31F95E4871}" id="{806E9F19-C326-4FFE-A1A7-5342A3FADC8B}">
    <text>"estimated from the egg dataset using S. pardalis data in Visser 1989"</text>
  </threadedComment>
  <threadedComment ref="N1895" dT="2020-07-09T17:56:32.78" personId="{9C2FB8A0-69AC-4C09-B3A4-DE31F95E4871}" id="{57A266ED-752B-4160-BEFA-500032850111}">
    <text>estimated from BM-CL regression database from Buskirk 1993
(July 2020)</text>
  </threadedComment>
  <threadedComment ref="M1901" dT="2020-07-09T17:55:07.40" personId="{9C2FB8A0-69AC-4C09-B3A4-DE31F95E4871}" id="{897B2D6E-2CE2-4111-8FC1-F2A97FA6286C}">
    <text>estimated from regression BM = 0.003021*CL^2.4988 from Humair 2013 (July 2020)</text>
  </threadedComment>
  <threadedComment ref="T1903" dT="2020-12-28T16:35:33.78" personId="{06DEDB07-59D1-417E-83D0-6B7F6C6F5DD5}" id="{9B1220C5-8F8E-419D-B424-F71F2075837D}">
    <text>estimated from our egg regression database using C. carbonarius (Dec 2020)</text>
  </threadedComment>
  <threadedComment ref="T1904" dT="2020-12-28T16:36:19.53" personId="{06DEDB07-59D1-417E-83D0-6B7F6C6F5DD5}" id="{3421F572-9C0D-4909-8A9E-19264CF22751}">
    <text>estimated from egg regression database using C. carbonarius (Dec 2020)</text>
  </threadedComment>
  <threadedComment ref="R1909" dT="2021-01-25T17:26:12.44" personId="{06DEDB07-59D1-417E-83D0-6B7F6C6F5DD5}" id="{89AD3139-B353-413D-ADD8-856D0E2154DF}">
    <text>estimated ca. 60</text>
  </threadedComment>
  <threadedComment ref="T1909" dT="2021-01-25T17:43:12.91" personId="{06DEDB07-59D1-417E-83D0-6B7F6C6F5DD5}" id="{61D02463-D9F4-4736-AB5E-6BF9AD02B00D}">
    <text>estimated from 114-149 by taking median</text>
  </threadedComment>
  <threadedComment ref="M1910" dT="2020-08-04T18:34:35.71" personId="{9C2FB8A0-69AC-4C09-B3A4-DE31F95E4871}" id="{3F669C8F-8EBD-4B48-8F53-D049D2D1EFAB}">
    <text>estimated from BM-CL regression dataset using Aldabrachelys gigantea from Aworer and Ramchurn 2003</text>
  </threadedComment>
  <threadedComment ref="R1911" dT="2021-01-25T17:25:32.71" personId="{06DEDB07-59D1-417E-83D0-6B7F6C6F5DD5}" id="{91CF1186-8DAA-4A34-B5C7-BF43A3B3C5DF}">
    <text>estimated from 55-68 by taking median</text>
  </threadedComment>
  <threadedComment ref="R1912" dT="2021-01-25T17:25:32.71" personId="{06DEDB07-59D1-417E-83D0-6B7F6C6F5DD5}" id="{B163F528-F8F0-4668-8298-A5C8BDC6B9D1}">
    <text>estimated from 55-68 by taking median</text>
  </threadedComment>
  <threadedComment ref="S1912" dT="2021-01-25T17:31:48.11" personId="{06DEDB07-59D1-417E-83D0-6B7F6C6F5DD5}" id="{EC81EA19-BB91-4808-81DF-238B2F39A995}">
    <text>estimated from 55-68 by taking median</text>
  </threadedComment>
  <threadedComment ref="R1913" dT="2021-01-25T17:26:01.52" personId="{06DEDB07-59D1-417E-83D0-6B7F6C6F5DD5}" id="{A2E82EE2-0245-4547-BCD6-4CE9F0AA634A}">
    <text>estimated from 57.6-68.8 by taking median</text>
  </threadedComment>
  <threadedComment ref="S1913" dT="2021-01-25T17:32:10.23" personId="{06DEDB07-59D1-417E-83D0-6B7F6C6F5DD5}" id="{9F4B1F1E-ADE6-456E-8BC8-526C7927BDD1}">
    <text>estimated from 54.2-56.3 by taking median</text>
  </threadedComment>
  <threadedComment ref="T1913" dT="2021-01-25T17:40:36.88" personId="{06DEDB07-59D1-417E-83D0-6B7F6C6F5DD5}" id="{F95C2AD3-5ABA-4B47-B22B-7966E0F11DE7}">
    <text>estimated from 98.8-113.9 by taking median</text>
  </threadedComment>
  <threadedComment ref="R1915" dT="2021-02-09T13:37:00.65" personId="{06DEDB07-59D1-417E-83D0-6B7F6C6F5DD5}" id="{AB9CC0B0-AC1D-446C-A03B-6FC852DBBD85}">
    <text>EL &gt; 50 mm</text>
  </threadedComment>
  <threadedComment ref="X1918" dT="2021-01-28T20:31:17.29" personId="{06DEDB07-59D1-417E-83D0-6B7F6C6F5DD5}" id="{1E6FBE50-E45C-42F9-B830-AEE4DC5281D0}">
    <text>estimated from 3-4 by median; at least 4</text>
  </threadedComment>
  <threadedComment ref="O1919" dT="2021-01-28T02:03:30.80" personId="{06DEDB07-59D1-417E-83D0-6B7F6C6F5DD5}" id="{54F1EE09-490D-4F7F-8B91-61947C3463EA}">
    <text>estimated from range 16-19 from median</text>
  </threadedComment>
  <threadedComment ref="O1932" dT="2022-03-11T17:47:14.59" personId="{4E95C416-F42E-44F8-BD76-9627AA3B78BA}" id="{8E8DC10F-3F7B-4135-B0A0-63B1C563DF92}">
    <text>6-7 reported</text>
  </threadedComment>
  <threadedComment ref="N1935" dT="2021-02-03T16:50:47.62" personId="{06DEDB07-59D1-417E-83D0-6B7F6C6F5DD5}" id="{AAE1C1AD-799E-447C-B07B-645B2F5DD698}">
    <text>Estimated from BM-CL regression database using Geochelone elegans from Deraniyagala 1939</text>
  </threadedComment>
  <threadedComment ref="T1937" dT="2020-12-28T16:37:31.65" personId="{06DEDB07-59D1-417E-83D0-6B7F6C6F5DD5}" id="{39B6BB3C-BD05-44E1-A867-3553FDC42A86}">
    <text>estimated from our egg regression database using Testudo hermanni (DEC 2020)</text>
  </threadedComment>
  <threadedComment ref="N1940" dT="2021-02-03T16:50:47.62" personId="{06DEDB07-59D1-417E-83D0-6B7F6C6F5DD5}" id="{5FEE88DA-BA67-4523-9E19-5BBD40A6F1C1}">
    <text>Estimated from BM-CL regression database using Geochelone elegans from Deraniyagala 1939</text>
  </threadedComment>
  <threadedComment ref="T1944" dT="2020-07-23T21:29:22.10" personId="{9C2FB8A0-69AC-4C09-B3A4-DE31F95E4871}" id="{73AD1ABC-20B4-4B86-A26A-16790F5EA5F8}">
    <text>estimated from on our egg data set for T. hermanni</text>
  </threadedComment>
  <threadedComment ref="T1945" dT="2020-07-23T21:29:22.10" personId="{9C2FB8A0-69AC-4C09-B3A4-DE31F95E4871}" id="{9F2FD02F-693D-4570-8B0A-1469CA41F51F}">
    <text>estimated from on our egg data set for T. hermanni</text>
  </threadedComment>
  <threadedComment ref="T1946" dT="2020-07-23T21:29:22.10" personId="{9C2FB8A0-69AC-4C09-B3A4-DE31F95E4871}" id="{8CF795E8-D151-4B11-8C12-2350BB50F200}">
    <text>estimated from on our egg data set for T. hermanni</text>
  </threadedComment>
  <threadedComment ref="N1950" dT="2020-03-12T19:42:37.04" personId="{9C2FB8A0-69AC-4C09-B3A4-DE31F95E4871}" id="{85754AF1-6E56-4CA0-9663-7EC734A11152}">
    <text>Estimated from BM-CL regression database using Chersine angulata from Branch 1984</text>
  </threadedComment>
  <threadedComment ref="T1951" dT="2020-07-23T21:29:22.10" personId="{9C2FB8A0-69AC-4C09-B3A4-DE31F95E4871}" id="{ED7700BC-1714-43CA-B1EE-94812BB9A763}">
    <text>estimated from on our egg data set for T. hermanni</text>
  </threadedComment>
  <threadedComment ref="I1952" dT="2021-01-21T18:15:12.47" personId="{06DEDB07-59D1-417E-83D0-6B7F6C6F5DD5}" id="{5DEFB6BB-3692-4497-9442-BD23D010E853}">
    <text>estimated ca. -29.6</text>
  </threadedComment>
  <threadedComment ref="T1952" dT="2020-07-23T21:29:22.10" personId="{9C2FB8A0-69AC-4C09-B3A4-DE31F95E4871}" id="{B86F1E79-3E42-4805-BC03-6BAF579A8A5D}">
    <text>estimated from on our egg data set for T. hermanni</text>
  </threadedComment>
  <threadedComment ref="O1953" dT="2022-03-11T17:56:33.76" personId="{4E95C416-F42E-44F8-BD76-9627AA3B78BA}" id="{17EB9CEB-6DD2-44B2-9CE3-DE36016A81EA}">
    <text>11-12 years reported</text>
  </threadedComment>
  <threadedComment ref="T1954" dT="2020-07-23T21:29:22.10" personId="{9C2FB8A0-69AC-4C09-B3A4-DE31F95E4871}" id="{D76DC1F1-351C-4B3F-AA98-D1FCFE385720}">
    <text>estimated from on our egg data set for T. hermanni</text>
  </threadedComment>
  <threadedComment ref="M1955" dT="2020-03-12T19:42:37.04" personId="{9C2FB8A0-69AC-4C09-B3A4-DE31F95E4871}" id="{C5AC00EB-55F3-4F8F-B95F-46A7DAD25444}">
    <text>Estimated from BM-CL regression database using Chersine angulata from Branch 1984</text>
  </threadedComment>
  <threadedComment ref="N1956" dT="2020-03-12T19:42:37.04" personId="{9C2FB8A0-69AC-4C09-B3A4-DE31F95E4871}" id="{427F84E4-1275-46BB-9218-5ECF102A49AD}">
    <text>Estimated from BM-CL regression database using Chersine angulata from Branch 1984</text>
  </threadedComment>
  <threadedComment ref="N1958" dT="2021-01-29T15:25:44.88" personId="{06DEDB07-59D1-417E-83D0-6B7F6C6F5DD5}" id="{D29B5AF2-5C61-45C8-9B92-7B015E851CEE}">
    <text>estimated from BM-CL plots from Galapagos tortoises (Bastille-Rousseau et al. 2016; J. Animal Ecology) - a crude estimate of 28kg</text>
  </threadedComment>
  <threadedComment ref="T1958" dT="2021-01-29T15:23:33.76" personId="{06DEDB07-59D1-417E-83D0-6B7F6C6F5DD5}" id="{8E988ACB-DD7E-4133-921C-2E584F5E9EF3}">
    <text>estimated from egg regression database using G. polyphemus.</text>
  </threadedComment>
  <threadedComment ref="T1961" dT="2021-01-25T17:44:08.25" personId="{06DEDB07-59D1-417E-83D0-6B7F6C6F5DD5}" id="{B3A69DE1-EAB5-462E-9D6F-16F92809B86F}">
    <text>estimated from 18-24 by taking median</text>
  </threadedComment>
  <threadedComment ref="N1963" dT="2020-04-01T18:27:48.58" personId="{BB9FA97D-30F9-450E-953B-CAF857939ABE}" id="{D4E43A3A-E6A9-487D-8959-24E46FEDFA33}">
    <text>estimated from BM = 0.6360*CL^2.548 via Deraniyagala 1939</text>
  </threadedComment>
  <threadedComment ref="N1965" dT="2020-04-01T18:27:48.58" personId="{BB9FA97D-30F9-450E-953B-CAF857939ABE}" id="{7B1DF90F-6BCE-47E8-B9E2-E876D0F95A09}">
    <text>estimated from BM = 0.6360*CL^2.548 via Deraniyagala 1939</text>
  </threadedComment>
  <threadedComment ref="S1965" dT="2021-01-25T17:35:44.89" personId="{06DEDB07-59D1-417E-83D0-6B7F6C6F5DD5}" id="{FDB26B37-A113-44F3-8200-CDA6566142C2}">
    <text>estimated from 30-38 by taking median</text>
  </threadedComment>
  <threadedComment ref="T1965" dT="2021-01-25T17:44:45.88" personId="{06DEDB07-59D1-417E-83D0-6B7F6C6F5DD5}" id="{76CA6039-3934-42A8-B020-F3AEAA1E20E4}">
    <text>estimated from 22-38 by taking median</text>
  </threadedComment>
  <threadedComment ref="S1967" dT="2021-01-25T17:37:43.57" personId="{06DEDB07-59D1-417E-83D0-6B7F6C6F5DD5}" id="{BB89E0C7-FC53-4A13-9E5C-22D59C9C857B}">
    <text>estimated from 22-32 by taking median</text>
  </threadedComment>
  <threadedComment ref="N1968" dT="2020-09-28T17:49:01.53" personId="{9C2FB8A0-69AC-4C09-B3A4-DE31F95E4871}" id="{CE0FEACF-5136-48B7-8E44-D9C96EDE532A}">
    <text>estimated from CM plus spent BM</text>
  </threadedComment>
  <threadedComment ref="T1971" dT="2020-08-03T18:59:20.49" personId="{9C2FB8A0-69AC-4C09-B3A4-DE31F95E4871}" id="{96D08DEE-6BB9-4CCD-81B7-BE227432E733}">
    <text>estimated from egg dataset using Geochelone elegans</text>
  </threadedComment>
  <threadedComment ref="T1975" dT="2020-08-03T19:01:47.41" personId="{9C2FB8A0-69AC-4C09-B3A4-DE31F95E4871}" id="{AA333841-81D7-4AE0-B023-882A696A6C74}">
    <text>estimated from our egg data using Chelonoidis carbonaria</text>
  </threadedComment>
  <threadedComment ref="M1978" dT="2021-02-03T16:54:34.39" personId="{06DEDB07-59D1-417E-83D0-6B7F6C6F5DD5}" id="{FCC12593-7BE3-4419-9450-6A33B866E340}">
    <text>estimated from Lovich pers. com.</text>
  </threadedComment>
  <threadedComment ref="T1979" dT="2020-08-03T19:01:47.41" personId="{9C2FB8A0-69AC-4C09-B3A4-DE31F95E4871}" id="{7DD321B2-0546-41BB-BEDD-FBDA8325AE4A}">
    <text>estimated from our egg data using Chelonoidis carbonaria</text>
  </threadedComment>
  <threadedComment ref="T1980" dT="2020-08-03T19:01:47.41" personId="{9C2FB8A0-69AC-4C09-B3A4-DE31F95E4871}" id="{AF38A2CB-F46D-4D93-82D3-2C61B894CDE7}">
    <text>estimated from our egg data using Chelonoidis carbonaria</text>
  </threadedComment>
  <threadedComment ref="T1981" dT="2020-08-03T19:01:47.41" personId="{9C2FB8A0-69AC-4C09-B3A4-DE31F95E4871}" id="{18E65D04-4330-4C51-8C22-EDDAAFE1E315}">
    <text>estimated from our egg data using Chelonoidis carbonaria</text>
  </threadedComment>
  <threadedComment ref="T1982" dT="2020-08-03T19:01:47.41" personId="{9C2FB8A0-69AC-4C09-B3A4-DE31F95E4871}" id="{621CD022-8702-4A8F-BA77-FD533693D732}">
    <text>estimated from our egg data using Chelonoidis carbonaria</text>
  </threadedComment>
  <threadedComment ref="T1987" dT="2020-08-03T19:01:47.41" personId="{9C2FB8A0-69AC-4C09-B3A4-DE31F95E4871}" id="{03EE5ABB-DCF9-4665-B5FA-9D6CAA6A0FC0}">
    <text>estimated from our egg data using Chelonoidis carbonaria</text>
  </threadedComment>
  <threadedComment ref="T1989" dT="2020-08-03T19:01:47.41" personId="{9C2FB8A0-69AC-4C09-B3A4-DE31F95E4871}" id="{7D2CDCFE-10A1-44BB-8D84-B1C8DC079376}">
    <text>estimated from our egg data using Chelonoidis carbonaria</text>
  </threadedComment>
  <threadedComment ref="T1991" dT="2020-08-03T19:01:47.41" personId="{9C2FB8A0-69AC-4C09-B3A4-DE31F95E4871}" id="{9C51AFFB-EEAF-4235-9665-8838A552B435}">
    <text>estimated from our egg data using Chelonoidis carbonaria</text>
  </threadedComment>
  <threadedComment ref="T1992" dT="2020-08-03T19:01:47.41" personId="{9C2FB8A0-69AC-4C09-B3A4-DE31F95E4871}" id="{30B70A4B-808B-473A-B5E0-BF79A3B14F34}">
    <text>estimated from our egg data using Chelonoidis carbonaria</text>
  </threadedComment>
  <threadedComment ref="O1995" dT="2022-03-11T16:14:13.17" personId="{4E95C416-F42E-44F8-BD76-9627AA3B78BA}" id="{AEDDC9BA-60C5-4D74-83D1-55CE70604611}">
    <text>Reported 15-20 years</text>
  </threadedComment>
  <threadedComment ref="N1996" dT="2020-03-09T19:32:28.31" personId="{9C2FB8A0-69AC-4C09-B3A4-DE31F95E4871}" id="{A3205C56-60AC-4040-B5D6-8E3AD2B7FA30}">
    <text>Estimated from BM = 0.000959*CL^2.73 bury and smith 1986</text>
  </threadedComment>
  <threadedComment ref="O1997" dT="2022-03-11T16:57:28.93" personId="{4E95C416-F42E-44F8-BD76-9627AA3B78BA}" id="{06FEF067-985E-4217-826D-A08AE9E094C4}">
    <text>3-5 reported</text>
  </threadedComment>
  <threadedComment ref="N1999" dT="2020-03-09T19:32:28.31" personId="{9C2FB8A0-69AC-4C09-B3A4-DE31F95E4871}" id="{1756D3AC-4405-4A5E-A1DC-C8DEB35AF5C7}">
    <text>Estimated from BM = 0.000959*CL^2.73 bury and smith 1986</text>
  </threadedComment>
  <threadedComment ref="T2000" dT="2020-08-03T19:01:47.41" personId="{9C2FB8A0-69AC-4C09-B3A4-DE31F95E4871}" id="{FFE16C5B-7D3A-4A30-A82D-0C71ACC57901}">
    <text>estimated from our egg data using Chelonoidis carbonaria</text>
  </threadedComment>
  <threadedComment ref="M2003" dT="2020-09-11T15:29:19.53" personId="{9C2FB8A0-69AC-4C09-B3A4-DE31F95E4871}" id="{2979DCE3-7A2C-4C17-8C45-599E6505D598}">
    <text>estimated from BM-CL regression dataset using Gopherus polyphemys from Goin and Goff (Iverson 1984)(Sept 2020)</text>
  </threadedComment>
  <threadedComment ref="N2004" dT="2020-08-04T18:45:31.32" personId="{9C2FB8A0-69AC-4C09-B3A4-DE31F95E4871}" id="{AA9B4A4E-C7C4-470E-A4CC-A10921A5BF58}">
    <text>estimated from BM-CL regression dataset using Gopherus polyphemys from Goin and Goff (Iverson 1984)(Aug 2020)</text>
  </threadedComment>
  <threadedComment ref="T2004" dT="2020-08-03T19:01:47.41" personId="{9C2FB8A0-69AC-4C09-B3A4-DE31F95E4871}" id="{E73B770D-ED51-4051-BCD1-67990B8088DF}">
    <text>estimated from our egg data using Chelonoidis carbonaria</text>
  </threadedComment>
  <threadedComment ref="N2005" dT="2020-08-04T18:45:31.32" personId="{9C2FB8A0-69AC-4C09-B3A4-DE31F95E4871}" id="{C08B7406-7952-4687-8AF1-212832B4D75C}">
    <text>estimated from BM-CL regression dataset using Gopherus polyphemys from Goin and Goff (Iverson 1984)(Aug 2020)</text>
  </threadedComment>
  <threadedComment ref="N2007" dT="2020-08-04T18:45:31.32" personId="{9C2FB8A0-69AC-4C09-B3A4-DE31F95E4871}" id="{682861DE-2890-4522-A3A7-849707A3A81F}">
    <text>estimated from BM-CL regression dataset using Gopherus polyphemys from Goin and Goff (Iverson 1984)(Aug 2020)</text>
  </threadedComment>
  <threadedComment ref="N2008" dT="2020-08-04T18:45:31.32" personId="{9C2FB8A0-69AC-4C09-B3A4-DE31F95E4871}" id="{008DD045-E0DC-4B86-9B34-53627DD781E3}">
    <text>estimated from BM-CL regression dataset using Gopherus polyphemys from Goin and Goff (Iverson 1984)(Aug 2020)</text>
  </threadedComment>
  <threadedComment ref="T2010" dT="2020-08-03T19:01:47.41" personId="{9C2FB8A0-69AC-4C09-B3A4-DE31F95E4871}" id="{324FFECF-9CF6-4397-9F39-5F0E559D0076}">
    <text>estimated from our egg data using Chelonoidis carbonaria</text>
  </threadedComment>
  <threadedComment ref="T2012" dT="2020-08-03T19:01:47.41" personId="{9C2FB8A0-69AC-4C09-B3A4-DE31F95E4871}" id="{310C4DC0-02CD-44E9-B308-257A338BC783}">
    <text>estimated from our egg data using Chelonoidis carbonaria</text>
  </threadedComment>
  <threadedComment ref="R2013" dT="2020-08-04T12:32:40.79" personId="{9C2FB8A0-69AC-4C09-B3A4-DE31F95E4871}" id="{9C3008CB-6FDC-4FBC-B439-016952225F0A}">
    <text>estimated from egg dataset using Chelonoidis carbonaria</text>
  </threadedComment>
  <threadedComment ref="T2013" dT="2020-08-03T19:01:47.41" personId="{9C2FB8A0-69AC-4C09-B3A4-DE31F95E4871}" id="{6D048870-6402-400F-BD5D-F1C3F9A95937}">
    <text>estimated from our egg data using Chelonoidis carbonaria</text>
  </threadedComment>
  <threadedComment ref="I2017" dT="2021-01-21T18:16:13.71" personId="{06DEDB07-59D1-417E-83D0-6B7F6C6F5DD5}" id="{E9086714-EF00-4CC5-B5C3-FA930EAB5B81}">
    <text>estimated ca. 32.17</text>
  </threadedComment>
  <threadedComment ref="N2018" dT="2020-03-09T19:34:10.78" personId="{9C2FB8A0-69AC-4C09-B3A4-DE31F95E4871}" id="{AC8F5C85-1D9C-4A4A-AC59-DC03E913DCF6}">
    <text>Estimated from BM-CL regression databaser using Goin and Goff (Iverson 1984)</text>
  </threadedComment>
  <threadedComment ref="N2019" dT="2020-03-09T19:34:10.78" personId="{9C2FB8A0-69AC-4C09-B3A4-DE31F95E4871}" id="{695AABA7-0931-4F8E-BA9E-579A24E76582}">
    <text>Estimated from BM-CL regression databaser using Goin and Goff (Iverson 1984)</text>
  </threadedComment>
  <threadedComment ref="N2020" dT="2020-03-09T19:34:10.78" personId="{9C2FB8A0-69AC-4C09-B3A4-DE31F95E4871}" id="{F21D35F9-94C0-4BD9-85CD-D00981FAE3C7}">
    <text>Estimated from BM-CL regression databaser using Goin and Goff (Iverson 1984)</text>
  </threadedComment>
  <threadedComment ref="R2021" dT="2020-09-29T16:51:57.47" personId="{9C2FB8A0-69AC-4C09-B3A4-DE31F95E4871}" id="{55AC93AA-B4EA-4F77-AB8D-468B6EDD0A3D}">
    <text>estimated from egg regression database</text>
  </threadedComment>
  <threadedComment ref="R2022" dT="2020-09-29T16:51:57.47" personId="{9C2FB8A0-69AC-4C09-B3A4-DE31F95E4871}" id="{2D76FF6E-E276-4F91-B8D3-49F18883C1CE}">
    <text>estimated from egg regression database</text>
  </threadedComment>
  <threadedComment ref="N2024" dT="2020-03-09T19:34:10.78" personId="{9C2FB8A0-69AC-4C09-B3A4-DE31F95E4871}" id="{6356834D-B1D9-4A7F-9E8F-C1A344851829}">
    <text>Estimated from BM-CL regression databaser using Goin and Goff (Iverson 1984)</text>
  </threadedComment>
  <threadedComment ref="N2025" dT="2020-03-09T19:34:10.78" personId="{9C2FB8A0-69AC-4C09-B3A4-DE31F95E4871}" id="{95E443BA-A2ED-4D5E-ABF7-BC0AD8BB0744}">
    <text>Estimated from BM-CL regression databaser using Goin and Goff (Iverson 1984)</text>
  </threadedComment>
  <threadedComment ref="N2027" dT="2020-03-09T19:34:10.78" personId="{9C2FB8A0-69AC-4C09-B3A4-DE31F95E4871}" id="{5599432C-1F92-4D97-BE9C-DA8B196B939F}">
    <text>Estimated from BM-CL regression databaser using Goin and Goff (Iverson 1984)</text>
  </threadedComment>
  <threadedComment ref="N2028" dT="2020-03-09T19:34:10.78" personId="{9C2FB8A0-69AC-4C09-B3A4-DE31F95E4871}" id="{F934B937-C4C1-4A6F-AD4F-62D6E0097939}">
    <text>Estimated from BM-CL regression databaser using Goin and Goff (Iverson 1984)</text>
  </threadedComment>
  <threadedComment ref="N2030" dT="2020-03-09T19:34:10.78" personId="{9C2FB8A0-69AC-4C09-B3A4-DE31F95E4871}" id="{1CC7BE48-9D34-4841-B861-20389D1B3812}">
    <text>Estimated from BM-CL regression databaser using Goin and Goff (Iverson 1984)</text>
  </threadedComment>
  <threadedComment ref="N2031" dT="2020-03-09T19:34:10.78" personId="{9C2FB8A0-69AC-4C09-B3A4-DE31F95E4871}" id="{9FA7E7E0-C128-4A70-ABF6-424F81FAA176}">
    <text>Estimated from BM-CL regression databaser using Goin and Goff (Iverson 1984)</text>
  </threadedComment>
  <threadedComment ref="N2032" dT="2020-03-09T19:34:10.78" personId="{9C2FB8A0-69AC-4C09-B3A4-DE31F95E4871}" id="{4A5BA0B3-7D4F-4137-8D71-044A9993A6E2}">
    <text>Estimated from BM-CL regression databaser using Goin and Goff (Iverson 1984)</text>
  </threadedComment>
  <threadedComment ref="N2036" dT="2020-03-09T19:34:10.78" personId="{9C2FB8A0-69AC-4C09-B3A4-DE31F95E4871}" id="{9B186B53-AE2E-4DAF-A961-36C32B6453E5}">
    <text>Estimated from BM-CL regression databaser using Goin and Goff (Iverson 1984)</text>
  </threadedComment>
  <threadedComment ref="N2037" dT="2020-03-09T19:34:10.78" personId="{9C2FB8A0-69AC-4C09-B3A4-DE31F95E4871}" id="{0E2B52BA-4C40-44B3-BF40-27D7EE611467}">
    <text>Estimated from BM-CL regression databaser using Goin and Goff (Iverson 1984)</text>
  </threadedComment>
  <threadedComment ref="N2038" dT="2020-03-09T19:34:10.78" personId="{9C2FB8A0-69AC-4C09-B3A4-DE31F95E4871}" id="{FE9C85F0-5CC9-4CDD-90E5-2AF54302A475}">
    <text>Estimated from BM-CL regression databaser using Goin and Goff (Iverson 1984)</text>
  </threadedComment>
  <threadedComment ref="N2039" dT="2020-03-09T19:34:10.78" personId="{9C2FB8A0-69AC-4C09-B3A4-DE31F95E4871}" id="{6484E785-E258-41E2-B9F1-42787B686737}">
    <text>Estimated from BM-CL regression databaser using Goin and Goff (Iverson 1984)</text>
  </threadedComment>
  <threadedComment ref="N2040" dT="2020-03-09T19:34:10.78" personId="{9C2FB8A0-69AC-4C09-B3A4-DE31F95E4871}" id="{5659E3F9-F0A7-4131-953F-9ECB80FBFB3C}">
    <text>Estimated from BM-CL regression databaser using Goin and Goff (Iverson 1984)</text>
  </threadedComment>
  <threadedComment ref="N2042" dT="2020-03-09T19:34:10.78" personId="{9C2FB8A0-69AC-4C09-B3A4-DE31F95E4871}" id="{85C53D83-2AC7-48CE-95AE-029F3F24DF60}">
    <text>Estimated from BM-CL regression databaser using Goin and Goff (Iverson 1984)</text>
  </threadedComment>
  <threadedComment ref="N2043" dT="2020-03-09T19:34:10.78" personId="{9C2FB8A0-69AC-4C09-B3A4-DE31F95E4871}" id="{DD86BE3C-8E36-458F-8653-E2D27D020873}">
    <text>Estimated from BM-CL regression databaser using Goin and Goff (Iverson 1984)</text>
  </threadedComment>
  <threadedComment ref="N2045" dT="2020-03-09T19:34:10.78" personId="{9C2FB8A0-69AC-4C09-B3A4-DE31F95E4871}" id="{1DD6510B-BD8E-4B18-9D23-A44E0507B376}">
    <text>Estimated from BM-CL regression databaser using Goin and Goff (Iverson 1984)</text>
  </threadedComment>
  <threadedComment ref="I2046" dT="2021-02-21T13:17:57.93" personId="{06DEDB07-59D1-417E-83D0-6B7F6C6F5DD5}" id="{86BFE6BD-2841-4DC9-9D79-66FEABA4BB59}">
    <text>can't find thesis</text>
  </threadedComment>
  <threadedComment ref="N2046" dT="2020-03-09T19:34:10.78" personId="{9C2FB8A0-69AC-4C09-B3A4-DE31F95E4871}" id="{E77EC379-D4A4-46C8-8A07-19F94D10A9B2}">
    <text>Estimated from BM-CL regression databaser using Goin and Goff (Iverson 1984)</text>
  </threadedComment>
  <threadedComment ref="N2054" dT="2020-03-12T19:42:37.04" personId="{9C2FB8A0-69AC-4C09-B3A4-DE31F95E4871}" id="{C33BB07F-F768-4B98-B319-E1A0B0C2B5EB}">
    <text>Estimated from BM-CL regression database using Chersine angulata from Branch 1984</text>
  </threadedComment>
  <threadedComment ref="N2058" dT="2020-03-12T19:42:37.04" personId="{9C2FB8A0-69AC-4C09-B3A4-DE31F95E4871}" id="{0389FF82-B2A7-4847-90FF-9201C1DE6172}">
    <text>Estimated from BM-CL regression database using Chersine angulata from Branch 1984</text>
  </threadedComment>
  <threadedComment ref="R2060" dT="2021-01-25T17:19:36.73" personId="{06DEDB07-59D1-417E-83D0-6B7F6C6F5DD5}" id="{905C29C9-1192-4D01-B5DC-9002C2DEB288}">
    <text>estimated from 29-33 by taking median</text>
  </threadedComment>
  <threadedComment ref="N2061" dT="2021-01-25T17:50:32.65" personId="{06DEDB07-59D1-417E-83D0-6B7F6C6F5DD5}" id="{4A33D420-6EFF-48AF-98BA-3ED47AC7CD2B}">
    <text>estimated from 1600-3060 by taking median</text>
  </threadedComment>
  <threadedComment ref="R2061" dT="2021-01-25T17:23:41.39" personId="{06DEDB07-59D1-417E-83D0-6B7F6C6F5DD5}" id="{5516C875-9D6A-4ACA-B21B-18A81A182869}">
    <text>estimated from 41.1-64.3 by taking median</text>
  </threadedComment>
  <threadedComment ref="S2061" dT="2021-01-25T17:35:25.83" personId="{06DEDB07-59D1-417E-83D0-6B7F6C6F5DD5}" id="{1198BC7F-00FD-4D51-9799-3B19F2F16972}">
    <text>estimated from 31.8-40.9 by taking median</text>
  </threadedComment>
  <threadedComment ref="T2061" dT="2021-01-25T17:39:53.18" personId="{06DEDB07-59D1-417E-83D0-6B7F6C6F5DD5}" id="{976929B0-1D56-4D60-B4FD-5E77C03B71F9}">
    <text>estimated from 25-51.5 by taking median</text>
  </threadedComment>
  <threadedComment ref="S2063" dT="2021-01-25T17:31:28.56" personId="{06DEDB07-59D1-417E-83D0-6B7F6C6F5DD5}" id="{EA8D044C-08D1-4961-9E1B-23AD21D5816C}">
    <text>estimated from ca. 5 cm long</text>
  </threadedComment>
  <threadedComment ref="T2065" dT="2020-08-03T19:11:25.88" personId="{9C2FB8A0-69AC-4C09-B3A4-DE31F95E4871}" id="{8137B2D8-C8BD-495F-92D0-FA9CD5F29BB6}">
    <text>estimated from egg dataset using Chelonoidis carbonaria</text>
  </threadedComment>
  <threadedComment ref="T2068" dT="2020-08-03T19:11:25.88" personId="{9C2FB8A0-69AC-4C09-B3A4-DE31F95E4871}" id="{59C60035-F405-468A-8E85-22C67C707C31}">
    <text>estimated from egg dataset using Chelonoidis carbonaria</text>
  </threadedComment>
  <threadedComment ref="M2069" dT="2020-09-24T14:48:41.35" personId="{9C2FB8A0-69AC-4C09-B3A4-DE31F95E4871}" id="{8F4CD586-B7BC-4FE6-92E2-5E49C460254E}">
    <text>PL = 18.7; estiamted CL from equation in Platt et al. (2007, Hamadryad 31:202-211)</text>
  </threadedComment>
  <threadedComment ref="N2069" dT="2021-02-21T12:56:31.09" personId="{06DEDB07-59D1-417E-83D0-6B7F6C6F5DD5}" id="{779DD642-DB32-4083-AC10-D481710362E5}">
    <text>estimated from our BM-CL regression plots for I. elongata</text>
  </threadedComment>
  <threadedComment ref="M2071" dT="2021-02-21T12:57:06.40" personId="{06DEDB07-59D1-417E-83D0-6B7F6C6F5DD5}" id="{B8A351CA-E1C2-4126-9B32-A3BD608046F6}">
    <text>estimated from our BM-CL regression plots for I. elongata</text>
  </threadedComment>
  <threadedComment ref="M2072" dT="2022-01-09T16:04:32.77" personId="{4E95C416-F42E-44F8-BD76-9627AA3B78BA}" id="{309C2AC7-F215-41B5-9B64-2D2001952F02}">
    <text>estimated from Fig 5 in Sriprateep et al. 2013</text>
  </threadedComment>
  <threadedComment ref="N2072" dT="2022-01-09T16:05:17.51" personId="{4E95C416-F42E-44F8-BD76-9627AA3B78BA}" id="{BD5DCF0A-E987-4A42-AFBE-E0FA090CB344}">
    <text>estimated from our BM-CL regression data base from this species from Myanmar - Steve Platt data</text>
  </threadedComment>
  <threadedComment ref="R2076" dT="2021-01-25T17:24:59.05" personId="{06DEDB07-59D1-417E-83D0-6B7F6C6F5DD5}" id="{2D441CB2-52B9-43D2-A196-5BADFE62E6B2}">
    <text>estimated from 42-50 by taking median</text>
  </threadedComment>
  <threadedComment ref="S2076" dT="2021-01-25T17:34:01.49" personId="{06DEDB07-59D1-417E-83D0-6B7F6C6F5DD5}" id="{33854C61-96A2-4E15-9B22-95CB707E46CC}">
    <text>estimated from 38-41 by taking median</text>
  </threadedComment>
  <threadedComment ref="T2080" dT="2020-08-13T16:55:44.61" personId="{9C2FB8A0-69AC-4C09-B3A4-DE31F95E4871}" id="{2A18578E-1664-42BE-8E8F-6124638A0C26}">
    <text>Das (1991) EM/BM is reported as 0.92. Therefore, EM should be 15.46, which is too low. Therefore we estimated from egg dataset using Centrochelys sulcata</text>
  </threadedComment>
  <threadedComment ref="T2084" dT="2020-08-03T19:18:29.67" personId="{9C2FB8A0-69AC-4C09-B3A4-DE31F95E4871}" id="{7614CCAC-E921-4D31-894D-8CAB5AC7F7A8}">
    <text>estimated from egg dataset using Centrochelys sulcata</text>
  </threadedComment>
  <threadedComment ref="N2090" dT="2020-09-09T19:23:01.61" personId="{9C2FB8A0-69AC-4C09-B3A4-DE31F95E4871}" id="{D9B68F91-5B98-4E66-B969-12614210F1DD}">
    <text>"estimated from spent body mass, 3323.6, plus clutch mass"</text>
  </threadedComment>
  <threadedComment ref="N2091" dT="2020-08-04T18:50:33.93" personId="{9C2FB8A0-69AC-4C09-B3A4-DE31F95E4871}" id="{E33FDF42-EF14-43C2-A152-888A0AD71EA0}">
    <text>estimated from BM-CL regression dataset using Kinixys spekii from Kabigumila 2002</text>
  </threadedComment>
  <threadedComment ref="M2093" dT="2021-01-25T17:06:30.51" personId="{06DEDB07-59D1-417E-83D0-6B7F6C6F5DD5}" id="{06472FF6-9927-46D6-9DAF-DF1170D12B75}">
    <text>estimated ca. 22.8</text>
  </threadedComment>
  <threadedComment ref="N2093" dT="2020-08-04T18:50:33.93" personId="{9C2FB8A0-69AC-4C09-B3A4-DE31F95E4871}" id="{F7242074-3C41-4F1E-9331-9A26B98FD35D}">
    <text>estimated from BM-CL regression dataset using Kinixys spekii from Kabigumila 2002</text>
  </threadedComment>
  <threadedComment ref="I2094" dT="2021-01-21T18:18:36.59" personId="{06DEDB07-59D1-417E-83D0-6B7F6C6F5DD5}" id="{10D988DC-D90F-4353-AE0E-88C26A62B525}">
    <text>estimated ca. 5.6</text>
  </threadedComment>
  <threadedComment ref="S2095" dT="2021-01-25T17:34:18.81" personId="{06DEDB07-59D1-417E-83D0-6B7F6C6F5DD5}" id="{F9DAC8F1-52E9-460D-9DD9-237CF5841E15}">
    <text>estimated from 36-37 by taking median</text>
  </threadedComment>
  <threadedComment ref="M2097" dT="2020-08-04T18:50:33.93" personId="{9C2FB8A0-69AC-4C09-B3A4-DE31F95E4871}" id="{34DA5984-2B71-49C2-9956-459D22B3B950}">
    <text>estimated from BM-CL regression dataset using Kinixys spekii from Kabigumila 2002</text>
  </threadedComment>
  <threadedComment ref="P2097" dT="2020-12-28T15:52:30.36" personId="{06DEDB07-59D1-417E-83D0-6B7F6C6F5DD5}" id="{D1AA25C8-03D6-4E99-A631-96690A483145}">
    <text>1-10?</text>
  </threadedComment>
  <threadedComment ref="T2098" dT="2020-08-03T19:24:05.80" personId="{9C2FB8A0-69AC-4C09-B3A4-DE31F95E4871}" id="{A7360CA0-08C1-4C4F-8A51-021878F3FD21}">
    <text>estimated from egg dataset using Geochelone elegans</text>
  </threadedComment>
  <threadedComment ref="I2099" dT="2021-01-21T18:18:36.59" personId="{06DEDB07-59D1-417E-83D0-6B7F6C6F5DD5}" id="{ECC56B52-176F-4500-A3CE-C5254C838D6C}">
    <text>estimated ca. 5.6</text>
  </threadedComment>
  <threadedComment ref="T2100" dT="2020-10-12T14:07:46.08" personId="{9C2FB8A0-69AC-4C09-B3A4-DE31F95E4871}" id="{07490C2E-2742-42C6-9D6F-26BFE1960D9E}">
    <text>estimated from egg regression database using G. elegans (Oct 2020)</text>
  </threadedComment>
  <threadedComment ref="T2101" dT="2020-12-28T16:38:43.33" personId="{06DEDB07-59D1-417E-83D0-6B7F6C6F5DD5}" id="{DBFF3171-8542-4E44-B943-009C2608B368}">
    <text>estimated from egg regression database using Malacochersus tornieri (Dec 2020)</text>
  </threadedComment>
  <threadedComment ref="T2104" dT="2020-08-03T19:24:05.80" personId="{9C2FB8A0-69AC-4C09-B3A4-DE31F95E4871}" id="{D143FA2D-6AFF-4C1D-A306-9592018B5705}">
    <text>estimated from egg dataset using Geochelone elegans</text>
  </threadedComment>
  <threadedComment ref="N2105" dT="2020-08-04T18:50:33.93" personId="{9C2FB8A0-69AC-4C09-B3A4-DE31F95E4871}" id="{A1A1C8CF-1057-44D4-8159-BFCAF8E24298}">
    <text>estimated from BM-CL regression dataset using Kinixys spekii from Kabigumila 2002</text>
  </threadedComment>
  <threadedComment ref="T2110" dT="2021-01-25T17:43:32.62" personId="{06DEDB07-59D1-417E-83D0-6B7F6C6F5DD5}" id="{A82D2490-A5F5-4E2E-BFFF-09F18383640C}">
    <text>estimated from 15-25 by taking median</text>
  </threadedComment>
  <threadedComment ref="T2111" dT="2020-08-03T19:24:05.80" personId="{9C2FB8A0-69AC-4C09-B3A4-DE31F95E4871}" id="{3EB1DA8E-B5C6-45DE-9C6B-DDBF27C7FE5A}">
    <text>estimated from egg dataset using Geochelone elegans</text>
  </threadedComment>
  <threadedComment ref="M2112" dT="2021-01-25T17:07:10.77" personId="{06DEDB07-59D1-417E-83D0-6B7F6C6F5DD5}" id="{BBAEE5EF-51FE-4B81-A3CD-0E05694D6FBD}">
    <text>estimated  ca. 16</text>
  </threadedComment>
  <threadedComment ref="N2112" dT="2020-08-04T18:50:33.93" personId="{9C2FB8A0-69AC-4C09-B3A4-DE31F95E4871}" id="{A3447D18-EB2D-4293-AE06-47C489F6AFA6}">
    <text>estimated from BM-CL regression dataset using Kinixys spekii from Kabigumila 2002</text>
  </threadedComment>
  <threadedComment ref="R2112" dT="2021-01-25T17:23:10.30" personId="{06DEDB07-59D1-417E-83D0-6B7F6C6F5DD5}" id="{6B7AE2AB-7579-4625-943F-D720E65719C4}">
    <text>estimated from 38-47 by taking median</text>
  </threadedComment>
  <threadedComment ref="S2112" dT="2020-12-28T15:49:43.01" personId="{06DEDB07-59D1-417E-83D0-6B7F6C6F5DD5}" id="{D280D6D0-5733-4366-9894-FB442FCC4D7E}">
    <text>reported '30-34</text>
  </threadedComment>
  <threadedComment ref="T2112" dT="2021-01-25T17:44:26.73" personId="{06DEDB07-59D1-417E-83D0-6B7F6C6F5DD5}" id="{352BF4DF-CB24-4E7C-B77C-4C6F881F5786}">
    <text>estimated from 20-31 by taking median</text>
  </threadedComment>
  <threadedComment ref="T2115" dT="2020-08-03T19:36:08.04" personId="{9C2FB8A0-69AC-4C09-B3A4-DE31F95E4871}" id="{FC843B34-C4F1-4AAF-99AA-97A56B3C15D2}">
    <text>estimated using egg dataset using Geochelone elegans</text>
  </threadedComment>
  <threadedComment ref="T2116" dT="2020-08-03T19:36:08.04" personId="{9C2FB8A0-69AC-4C09-B3A4-DE31F95E4871}" id="{6A052E67-845F-4695-A4CD-FC47737FDCAC}">
    <text>estimated using egg dataset using Geochelone elegans</text>
  </threadedComment>
  <threadedComment ref="M2117" dT="2021-01-25T17:09:54.29" personId="{06DEDB07-59D1-417E-83D0-6B7F6C6F5DD5}" id="{5F412DFB-A926-4ADE-84D0-52DE8C72EC02}">
    <text>estimated from 19-22 by taking median</text>
  </threadedComment>
  <threadedComment ref="N2117" dT="2021-02-03T17:02:19.66" personId="{06DEDB07-59D1-417E-83D0-6B7F6C6F5DD5}" id="{DD078F92-1312-4367-847D-18D4F5F24338}">
    <text>estimated from our BM-CL regression database using Kuchling 1986</text>
  </threadedComment>
  <threadedComment ref="R2117" dT="2021-01-25T17:23:20.74" personId="{06DEDB07-59D1-417E-83D0-6B7F6C6F5DD5}" id="{52605D1A-BC30-44E2-B64F-B40C34B4E46C}">
    <text>estimated from 38-48 by taking median</text>
  </threadedComment>
  <threadedComment ref="S2117" dT="2021-01-25T17:34:57.74" personId="{06DEDB07-59D1-417E-83D0-6B7F6C6F5DD5}" id="{B12110E2-726F-4D2F-9D61-EEFC57070962}">
    <text>estimated from 32-36 by taking median</text>
  </threadedComment>
  <threadedComment ref="T2117" dT="2021-01-25T17:40:11.19" personId="{06DEDB07-59D1-417E-83D0-6B7F6C6F5DD5}" id="{D1A2B61A-404D-4CED-9A76-2510B6DE173A}">
    <text>estimated from 23-32 by taking median</text>
  </threadedComment>
  <threadedComment ref="P2119" dT="2021-01-25T17:14:53.90" personId="{06DEDB07-59D1-417E-83D0-6B7F6C6F5DD5}" id="{52341977-55DA-4716-8A02-921CF69B77CE}">
    <text>estimated from 2-10 by taking the median</text>
  </threadedComment>
  <threadedComment ref="M2124" dT="2020-04-01T18:31:40.80" personId="{BB9FA97D-30F9-450E-953B-CAF857939ABE}" id="{E46EC8B3-ABFA-4D94-86A4-FD5C566EE9B2}">
    <text>estiamted from BM = 0.000001921CL^3.8314 via Kabigumila (2002)</text>
  </threadedComment>
  <threadedComment ref="R2128" dT="2021-01-25T17:21:35.56" personId="{06DEDB07-59D1-417E-83D0-6B7F6C6F5DD5}" id="{4A309790-EAD5-4956-9495-04E87F46B0F6}">
    <text>estimated from 30-50 by taking median</text>
  </threadedComment>
  <threadedComment ref="S2128" dT="2021-01-25T17:21:12.11" personId="{06DEDB07-59D1-417E-83D0-6B7F6C6F5DD5}" id="{E4795A5E-7C48-4519-9A94-CB1915918B97}">
    <text>estimated from 16-38 by taking median</text>
  </threadedComment>
  <threadedComment ref="N2129" dT="2020-04-01T18:31:40.80" personId="{BB9FA97D-30F9-450E-953B-CAF857939ABE}" id="{E42ABE4D-4006-43D1-BC56-850F4F585E46}">
    <text>estiamted from BM = 0.000001921CL^3.8314 via Kabigumila (2002)</text>
  </threadedComment>
  <threadedComment ref="N2134" dT="2021-02-03T17:06:27.64" personId="{06DEDB07-59D1-417E-83D0-6B7F6C6F5DD5}" id="{4829B8AF-AD9F-42DE-8E25-3AF00343F4B1}">
    <text>estimated from BM-CL regression dataset using  Caesar Rahman (unpub. data)</text>
  </threadedComment>
  <threadedComment ref="M2135" dT="2020-08-04T18:52:49.62" personId="{9C2FB8A0-69AC-4C09-B3A4-DE31F95E4871}" id="{A0813A8D-4C1C-4B79-9630-120242356CC0}">
    <text>estimated from BM-CL regression dataset using  Caesar Rahman (unpub. data)</text>
  </threadedComment>
  <threadedComment ref="P2135" dT="2021-01-28T19:55:00.05" personId="{06DEDB07-59D1-417E-83D0-6B7F6C6F5DD5}" id="{68460BCD-BCDF-460D-9D0E-703A1CBA5DF5}">
    <text>N = 1</text>
  </threadedComment>
  <threadedComment ref="T2135" dT="2020-12-28T15:35:06.89" personId="{06DEDB07-59D1-417E-83D0-6B7F6C6F5DD5}" id="{3E9A4C6A-EBE5-4203-AA29-5518397246C5}">
    <text>reported 55-62</text>
  </threadedComment>
  <threadedComment ref="I2137" dT="2021-01-21T18:19:31.70" personId="{06DEDB07-59D1-417E-83D0-6B7F6C6F5DD5}" id="{575DE820-05C8-495D-B0E1-F8796D74EE47}">
    <text>estimated ca 19</text>
  </threadedComment>
  <threadedComment ref="P2137" dT="2021-01-28T19:54:26.64" personId="{06DEDB07-59D1-417E-83D0-6B7F6C6F5DD5}" id="{CF64EF6A-B987-4317-B193-A291D490ECDD}">
    <text>N = 1</text>
  </threadedComment>
  <threadedComment ref="T2138" dT="2020-08-28T19:12:29.80" personId="{9C2FB8A0-69AC-4C09-B3A4-DE31F95E4871}" id="{A2FD0E98-3EFA-49BA-B1D5-34DCC9EA1852}">
    <text>estimated from regressions in our egg database using Centrochelys sulcata (Aug 2020)</text>
  </threadedComment>
  <threadedComment ref="N2139" dT="2020-08-04T18:54:44.12" personId="{9C2FB8A0-69AC-4C09-B3A4-DE31F95E4871}" id="{EC654F51-1B6A-4A5D-A59D-631F1338F0FC}">
    <text>estimated from BM-CL regression dataset using Gopherus agassizii from Lovich pers. comm.</text>
  </threadedComment>
  <threadedComment ref="I2140" dT="2021-01-21T18:19:43.98" personId="{06DEDB07-59D1-417E-83D0-6B7F6C6F5DD5}" id="{D5800ABE-DC37-4170-A18C-6D67B21517F7}">
    <text>estimated ca. 5</text>
  </threadedComment>
  <threadedComment ref="N2141" dT="2021-02-08T21:44:44.67" personId="{06DEDB07-59D1-417E-83D0-6B7F6C6F5DD5}" id="{7F5E9820-3F70-43F5-9B41-E88B74FB5230}">
    <text>estimated from BM-CL regression dataset using Gopherus agassizii from Lovich pers. comm. In the original paper, author reported 3300 for BM, which seems low. The use of the 3300g BM produces an unrealistic RCM value.</text>
  </threadedComment>
  <threadedComment ref="O2143" dT="2021-02-14T14:47:40.92" personId="{06DEDB07-59D1-417E-83D0-6B7F6C6F5DD5}" id="{50BAA92A-41DE-461E-90C2-328A1F250549}">
    <text>&lt;17</text>
  </threadedComment>
  <threadedComment ref="T2145" dT="2020-08-03T19:40:41.07" personId="{9C2FB8A0-69AC-4C09-B3A4-DE31F95E4871}" id="{833BB765-0B3B-47D0-8DD4-F40210B7B14A}">
    <text>estimated from our egg data set for Pyxis arachnoides</text>
  </threadedComment>
  <threadedComment ref="T2148" dT="2020-08-03T19:40:41.07" personId="{9C2FB8A0-69AC-4C09-B3A4-DE31F95E4871}" id="{DA6B0036-B5B2-4CBE-B280-DC2F8A15C4AF}">
    <text>estimated from our egg data set for Pyxis arachnoides</text>
  </threadedComment>
  <threadedComment ref="N2150" dT="2020-03-12T19:42:37.04" personId="{9C2FB8A0-69AC-4C09-B3A4-DE31F95E4871}" id="{91E7B01D-6D32-4BBA-B2BC-AFD3128C7F3F}">
    <text>Estimated from BM-CL regression using Chersine angulata from Branch 1984</text>
  </threadedComment>
  <threadedComment ref="I2152" dT="2021-01-21T18:20:05.51" personId="{06DEDB07-59D1-417E-83D0-6B7F6C6F5DD5}" id="{A50C072C-C5A7-42B9-8D3D-5CBBA192614C}">
    <text>estimated ca -33</text>
  </threadedComment>
  <threadedComment ref="N2152" dT="2020-03-12T19:42:37.04" personId="{9C2FB8A0-69AC-4C09-B3A4-DE31F95E4871}" id="{B23DC461-69B6-42F7-BC8C-D09EFEBEA158}">
    <text>Estimated from BM-CL regression using Chersine angulata from Branch 1984</text>
  </threadedComment>
  <threadedComment ref="I2153" dT="2021-01-21T18:20:05.51" personId="{06DEDB07-59D1-417E-83D0-6B7F6C6F5DD5}" id="{996D77F5-1770-4A47-A9DA-21897B3792AC}">
    <text>estimated ca -33</text>
  </threadedComment>
  <threadedComment ref="T2157" dT="2020-04-01T23:20:15.46" personId="{BB9FA97D-30F9-450E-953B-CAF857939ABE}" id="{E123C274-3E1F-44F2-9EAC-8C00560F92A5}">
    <text>estimated from EM = 0.537EL + 1.309EW - 40.389 Iverson unpublished data</text>
  </threadedComment>
  <threadedComment ref="T2158" dT="2020-04-01T23:20:15.46" personId="{BB9FA97D-30F9-450E-953B-CAF857939ABE}" id="{3FC6F28D-35A9-498C-98F3-2B72744C355A}">
    <text>estimated from EM = 0.537EL + 1.309EW - 40.389 Iverson unpublished data</text>
  </threadedComment>
  <threadedComment ref="T2159" dT="2020-04-01T23:20:15.46" personId="{BB9FA97D-30F9-450E-953B-CAF857939ABE}" id="{3797D44C-4B69-402B-AD82-587F162049BD}">
    <text>estimated from EM = 0.537EL + 1.309EW - 40.389 Iverson unpublished data</text>
  </threadedComment>
  <threadedComment ref="R2160" dT="2021-01-25T17:22:15.19" personId="{06DEDB07-59D1-417E-83D0-6B7F6C6F5DD5}" id="{817B59D2-F406-44FE-BFC9-DCCEAE7760D8}">
    <text>estimated from 33-35 by taking median</text>
  </threadedComment>
  <threadedComment ref="S2160" dT="2021-01-25T17:36:04.93" personId="{06DEDB07-59D1-417E-83D0-6B7F6C6F5DD5}" id="{CB0BB5A6-3865-4666-B6E2-12C98F64C9B1}">
    <text>estimated from 25-30 by taking median</text>
  </threadedComment>
  <threadedComment ref="M2167" dT="2021-01-25T17:08:35.05" personId="{06DEDB07-59D1-417E-83D0-6B7F6C6F5DD5}" id="{7AB29B3D-D2A8-42EB-83FC-B765A25D4069}">
    <text>estimated  from 13-15 by taking the median</text>
  </threadedComment>
  <threadedComment ref="P2174" dT="2021-01-25T17:15:57.28" personId="{06DEDB07-59D1-417E-83D0-6B7F6C6F5DD5}" id="{6A1CE86A-72EF-4A04-835B-4DBC440504B2}">
    <text>estimated from 6-10 by taking the median</text>
  </threadedComment>
  <threadedComment ref="R2174" dT="2021-01-25T17:23:52.42" personId="{06DEDB07-59D1-417E-83D0-6B7F6C6F5DD5}" id="{1A69478B-9A4C-4C71-B181-7A1E620FEC0A}">
    <text>estimated from 42-43 by taking median</text>
  </threadedComment>
  <threadedComment ref="T2174" dT="2021-01-25T17:47:38.32" personId="{06DEDB07-59D1-417E-83D0-6B7F6C6F5DD5}" id="{58AA37D5-8A43-4EFF-8348-EB037387596B}">
    <text>estimated ca. 45</text>
  </threadedComment>
  <threadedComment ref="F2175" dT="2021-03-15T15:15:33.69" personId="{06DEDB07-59D1-417E-83D0-6B7F6C6F5DD5}" id="{6CFBD4DE-D94E-40E9-B516-93F3A7455C1A}">
    <text>S. Africa</text>
  </threadedComment>
  <threadedComment ref="S2175" dT="2020-04-01T23:16:33.72" personId="{BB9FA97D-30F9-450E-953B-CAF857939ABE}" id="{81943F03-F195-404D-A3B8-8C946B9926A6}">
    <text>estimated from y = 1.6397x - 22.805 Iverson unpublished data</text>
  </threadedComment>
  <threadedComment ref="M2177" dT="2020-09-29T15:13:05.78" personId="{9C2FB8A0-69AC-4C09-B3A4-DE31F95E4871}" id="{7AE3E08E-7F81-42F7-8DA5-459D9FABEC7A}">
    <text>estimated BM-CL regression database using Mill 2015</text>
  </threadedComment>
  <threadedComment ref="N2177" dT="2020-10-16T14:12:24.84" personId="{9C2FB8A0-69AC-4C09-B3A4-DE31F95E4871}" id="{591A7D7E-8D02-43BE-B765-DC3214CA151D}">
    <text>authors report BM of 1.82kg (1820g) which cannot be correct.</text>
  </threadedComment>
  <threadedComment ref="T2177" dT="2020-10-16T14:13:25.51" personId="{9C2FB8A0-69AC-4C09-B3A4-DE31F95E4871}" id="{795AB4DB-C6D6-4507-AF6C-626BEEF1C47D}">
    <text>estimated from egg regression database using pardalis (Oct 2020)</text>
  </threadedComment>
  <threadedComment ref="M2178" dT="2020-09-29T15:13:05.78" personId="{9C2FB8A0-69AC-4C09-B3A4-DE31F95E4871}" id="{098AABC5-9200-48DB-83F0-EA7D27EE4DE8}">
    <text>estimated BM-CL regression database using Mill 2015</text>
  </threadedComment>
  <threadedComment ref="T2179" dT="2021-01-25T17:47:54.46" personId="{06DEDB07-59D1-417E-83D0-6B7F6C6F5DD5}" id="{89B5D6F7-A850-4936-879B-5848A358EA0F}">
    <text>estimated ca. 50</text>
  </threadedComment>
  <threadedComment ref="T2186" dT="2020-08-03T19:46:45.09" personId="{9C2FB8A0-69AC-4C09-B3A4-DE31F95E4871}" id="{BF007B0C-47BC-43E1-9712-461DFF5DB739}">
    <text>estimated from our egg dataset</text>
  </threadedComment>
  <threadedComment ref="R2190" dT="2021-01-25T17:24:13.40" personId="{06DEDB07-59D1-417E-83D0-6B7F6C6F5DD5}" id="{062EF8F3-D368-4A94-85D8-B112E85A49EA}">
    <text>estimated from 42-48.8 by taking median</text>
  </threadedComment>
  <threadedComment ref="S2190" dT="2021-01-25T17:33:37.41" personId="{06DEDB07-59D1-417E-83D0-6B7F6C6F5DD5}" id="{A1B23339-8924-4173-810F-A6A79B6C0624}">
    <text>estimated from39.5-45 by taking median</text>
  </threadedComment>
  <threadedComment ref="T2203" dT="2021-01-25T17:42:56.16" personId="{06DEDB07-59D1-417E-83D0-6B7F6C6F5DD5}" id="{3E8C02C3-08B5-4C1C-97DA-3726EA56AEA4}">
    <text>estimated from 12-21 by taking median</text>
  </threadedComment>
  <threadedComment ref="P2211" dT="2021-01-25T17:17:10.94" personId="{06DEDB07-59D1-417E-83D0-6B7F6C6F5DD5}" id="{C7A03E46-4426-4C98-A2CF-29149DC48120}">
    <text>estimated ca. 4</text>
  </threadedComment>
  <threadedComment ref="N2218" dT="2020-03-09T19:37:33.80" personId="{9C2FB8A0-69AC-4C09-B3A4-DE31F95E4871}" id="{ED5BDB18-060C-4538-8596-5F53E99EA5A6}">
    <text>Estimated from BM = 0.000257*CL^2.94 from Mediterranean region (Lambert 1982)</text>
  </threadedComment>
  <threadedComment ref="N2219" dT="2020-03-09T19:37:33.80" personId="{9C2FB8A0-69AC-4C09-B3A4-DE31F95E4871}" id="{49291058-B90F-4F05-967B-B37D93D935F7}">
    <text>Estimated from BM = 0.000257*CL^2.94 from Mediterranean region (Lambert 1982)</text>
  </threadedComment>
  <threadedComment ref="N2221" dT="2020-03-09T19:37:33.80" personId="{9C2FB8A0-69AC-4C09-B3A4-DE31F95E4871}" id="{AA2933FE-0C46-4D4C-A1C9-F387FEE036E6}">
    <text>Estimated from BM = 0.000257*CL^2.94 from Mediterranean region (Lambert 1982)</text>
  </threadedComment>
  <threadedComment ref="N2222" dT="2020-03-09T19:37:33.80" personId="{9C2FB8A0-69AC-4C09-B3A4-DE31F95E4871}" id="{A6C77657-B94C-4370-B998-A21D0F6F4C9E}">
    <text>Estimated from BM = 0.000257*CL^2.94 from Mediterranean region (Lambert 1982)</text>
  </threadedComment>
  <threadedComment ref="N2225" dT="2020-03-09T19:37:33.80" personId="{9C2FB8A0-69AC-4C09-B3A4-DE31F95E4871}" id="{2401785F-FCE5-4741-A97B-C23AEAD08BA3}">
    <text>Estimated from BM = 0.000257*CL^2.94 from Mediterranean region (Lambert 1982)</text>
  </threadedComment>
  <threadedComment ref="O2226" dT="2022-03-11T18:32:51.47" personId="{4E95C416-F42E-44F8-BD76-9627AA3B78BA}" id="{D64FCA5B-82A4-41FA-991B-19EACD28E344}">
    <text>9-11 years reported</text>
  </threadedComment>
  <threadedComment ref="N2228" dT="2020-07-02T18:30:08.53" personId="{9C2FB8A0-69AC-4C09-B3A4-DE31F95E4871}" id="{95720654-2A42-40C9-BFB1-05BA23D49A1A}">
    <text>Estimated from BM = 0.000649*CL^2.774 in Turkozan et al. 2019 (pers.comm.)</text>
  </threadedComment>
  <threadedComment ref="T2228" dT="2020-09-23T13:31:20.20" personId="{9C2FB8A0-69AC-4C09-B3A4-DE31F95E4871}" id="{AB743443-343F-46D2-A3B3-9220258BA977}">
    <text>estimated from egg regression database (Sept 2020)</text>
  </threadedComment>
  <threadedComment ref="X2233" dT="2021-01-28T20:30:52.71" personId="{06DEDB07-59D1-417E-83D0-6B7F6C6F5DD5}" id="{8C1734C0-FB91-4C53-9BC3-F38AB58C8D02}">
    <text>estimated from 2-3 by median</text>
  </threadedComment>
  <threadedComment ref="T2235" dT="2020-10-08T13:18:22.20" personId="{9C2FB8A0-69AC-4C09-B3A4-DE31F95E4871}" id="{C061BFF1-D0F2-43AA-89BD-2D0F353E3EC6}">
    <text>estimated from egg regression database (Oct 2020)</text>
  </threadedComment>
  <threadedComment ref="M2238" dT="2020-07-02T18:23:38.06" personId="{9C2FB8A0-69AC-4C09-B3A4-DE31F95E4871}" id="{95530E78-7C32-4B14-8974-B720F677F8C5}">
    <text>Estimated from BM = 0.000690*CL^2.767 from Willemsen et al. 2002 (captive population)</text>
  </threadedComment>
  <threadedComment ref="M2247" dT="2020-07-02T18:23:38.06" personId="{9C2FB8A0-69AC-4C09-B3A4-DE31F95E4871}" id="{EDE119B0-F72C-40DC-A9EA-7F8930AF8D21}">
    <text>Estimated from BM = 0.000690*CL^2.767 from Willemsen et al. 2002 (captive population)</text>
  </threadedComment>
  <threadedComment ref="O2254" dT="2022-03-11T18:36:48.72" personId="{4E95C416-F42E-44F8-BD76-9627AA3B78BA}" id="{ADF8D0E1-A538-4CD6-8CE4-A593A177EA8F}">
    <text>7.2-16.6 years across 17 populations</text>
  </threadedComment>
  <threadedComment ref="T2255" dT="2020-10-12T14:12:06.87" personId="{9C2FB8A0-69AC-4C09-B3A4-DE31F95E4871}" id="{69BDB44C-2634-4B9D-88E3-5AB3371E4C02}">
    <text>estimated from egg regression database (Oct 2020)</text>
  </threadedComment>
  <threadedComment ref="R2258" dT="2020-12-28T15:35:46.34" personId="{06DEDB07-59D1-417E-83D0-6B7F6C6F5DD5}" id="{A731DF0A-9993-4C68-B3AC-F529C21692DB}">
    <text>reported 45-49</text>
  </threadedComment>
  <threadedComment ref="T2258" dT="2020-12-28T15:36:00.90" personId="{06DEDB07-59D1-417E-83D0-6B7F6C6F5DD5}" id="{03F51145-D5A5-47E1-9C00-E36683782F0D}">
    <text>reported 22-27</text>
  </threadedComment>
  <threadedComment ref="S2264" dT="2021-01-25T17:33:20.75" personId="{06DEDB07-59D1-417E-83D0-6B7F6C6F5DD5}" id="{00CB0E67-800E-41FA-8BB2-255EAB5EF738}">
    <text>estimated from 42-57 by taking median</text>
  </threadedComment>
  <threadedComment ref="M2267" dT="2021-01-25T17:09:00.75" personId="{06DEDB07-59D1-417E-83D0-6B7F6C6F5DD5}" id="{7587C2A5-5CBC-4107-81EF-C0985DC362FA}">
    <text>estimated from 17-20 by taking median</text>
  </threadedComment>
  <threadedComment ref="P2267" dT="2021-01-25T17:17:02.84" personId="{06DEDB07-59D1-417E-83D0-6B7F6C6F5DD5}" id="{7AE712CD-7E1B-4D13-A294-001E066DED24}">
    <text>estimated ca. 3</text>
  </threadedComment>
  <threadedComment ref="R2267" dT="2020-12-28T15:36:42.87" personId="{06DEDB07-59D1-417E-83D0-6B7F6C6F5DD5}" id="{FCFCA6BD-AA86-4291-8D80-1E9EF3CCDC3B}">
    <text>reported 35-45</text>
  </threadedComment>
  <threadedComment ref="S2267" dT="2020-12-28T15:36:36.19" personId="{06DEDB07-59D1-417E-83D0-6B7F6C6F5DD5}" id="{7F797108-C8BB-4280-99A0-E54FC9FC87F9}">
    <text>reported 25-35</text>
  </threadedComment>
  <threadedComment ref="T2267" dT="2020-12-28T15:36:19.38" personId="{06DEDB07-59D1-417E-83D0-6B7F6C6F5DD5}" id="{CCC71EBF-9F19-44BC-B8E0-A7EA6729620A}">
    <text>reported 20-25</text>
  </threadedComment>
  <threadedComment ref="M2271" dT="2021-02-15T19:49:16.52" personId="{06DEDB07-59D1-417E-83D0-6B7F6C6F5DD5}" id="{97C7A7B8-D87F-4374-BB0F-A4ACD9944A26}">
    <text>estimated from cross-population means using species.</text>
  </threadedComment>
  <threadedComment ref="N2272" dT="2021-02-15T19:49:31.83" personId="{06DEDB07-59D1-417E-83D0-6B7F6C6F5DD5}" id="{0CE6B6D6-E219-4DA9-AC21-CA4E6F82EAA4}">
    <text>estimated from cross-population means using species.</text>
  </threadedComment>
  <threadedComment ref="N2274" dT="2021-02-15T19:49:31.83" personId="{06DEDB07-59D1-417E-83D0-6B7F6C6F5DD5}" id="{A3732DCE-D805-486A-BF84-9BF055CA2CC4}">
    <text>estimated from cross-population means using species.</text>
  </threadedComment>
  <threadedComment ref="M2275" dT="2021-02-15T19:49:31.83" personId="{06DEDB07-59D1-417E-83D0-6B7F6C6F5DD5}" id="{3842B9EF-9E73-4337-AB5B-6FEF9A9E0418}">
    <text>estimated from cross-population means using species.</text>
  </threadedComment>
  <threadedComment ref="T2276" dT="2020-08-28T19:15:07.12" personId="{9C2FB8A0-69AC-4C09-B3A4-DE31F95E4871}" id="{D6E761C8-4B49-4794-8880-5880E1E2130C}">
    <text>estimated from regressions in our egg database using Testudo hermanni</text>
  </threadedComment>
  <threadedComment ref="P2278" dT="2021-01-25T17:16:20.42" personId="{06DEDB07-59D1-417E-83D0-6B7F6C6F5DD5}" id="{2C66092C-C001-4C9B-AEE9-544E1149D4DC}">
    <text>estimated ca. 2</text>
  </threadedComment>
  <threadedComment ref="M2280" dT="2021-02-15T19:49:31.83" personId="{06DEDB07-59D1-417E-83D0-6B7F6C6F5DD5}" id="{E315CAE7-4DD0-4EEB-B888-D599A57F246F}">
    <text>estimated from cross-population means using species.</text>
  </threadedComment>
  <threadedComment ref="P2280" dT="2021-02-08T16:02:25.21" personId="{06DEDB07-59D1-417E-83D0-6B7F6C6F5DD5}" id="{596486EF-047E-4723-AA4D-F25DA47B4B53}">
    <text>up to 4</text>
  </threadedComment>
  <threadedComment ref="X2280" dT="2021-02-08T16:03:04.00" personId="{06DEDB07-59D1-417E-83D0-6B7F6C6F5DD5}" id="{0BAF1758-DE9D-451E-B00A-49C0EB1361B3}">
    <text>up to 18 total eggs in one year</text>
  </threadedComment>
  <threadedComment ref="T2281" dT="2020-08-28T19:15:07.12" personId="{9C2FB8A0-69AC-4C09-B3A4-DE31F95E4871}" id="{15FD5CB9-4611-4974-9E76-6FF49AA6940B}">
    <text>estimated from regressions in our egg database using Testudo hermanni</text>
  </threadedComment>
  <threadedComment ref="N2287" dT="2020-07-02T18:21:44.87" personId="{9C2FB8A0-69AC-4C09-B3A4-DE31F95E4871}" id="{62E5E9CB-9BE6-4F65-8271-EAFB9B53DC37}">
    <text>Estiamted from BM = 0.0005977*CL^2.747 in Lambert et al. (1988)</text>
  </threadedComment>
  <threadedComment ref="M2289" dT="2020-07-02T18:19:52.76" personId="{9C2FB8A0-69AC-4C09-B3A4-DE31F95E4871}" id="{EF90E8DE-AD7E-43D8-9DD4-40572043D1BF}">
    <text>Estiamted from BM = 0.0005977*CL^2.747 in Lambert et al. (1988)</text>
  </threadedComment>
  <threadedComment ref="O2292" dT="2020-09-28T12:36:13.92" personId="{9C2FB8A0-69AC-4C09-B3A4-DE31F95E4871}" id="{F5464998-B1D4-4B89-B926-E5190EB5D470}">
    <text>20 months (captivity)</text>
  </threadedComment>
  <threadedComment ref="P2292" dT="2020-09-28T12:36:47.00" personId="{9C2FB8A0-69AC-4C09-B3A4-DE31F95E4871}" id="{C78F94BA-DCFB-4FBE-9B46-63F4FDF694CD}">
    <text>6-10 in small ones and 20-30 in large ones</text>
  </threadedComment>
  <threadedComment ref="M2295" dT="2022-02-05T13:15:16.64" personId="{4E95C416-F42E-44F8-BD76-9627AA3B78BA}" id="{AD623873-C722-4B7C-A6A1-7C80269E68B4}">
    <text>estimated from PL = 38.81</text>
  </threadedComment>
  <threadedComment ref="N2295" dT="2022-02-05T13:15:46.14" personId="{4E95C416-F42E-44F8-BD76-9627AA3B78BA}" id="{1A0FC36B-DE25-4B94-AB79-8595EFD5D333}">
    <text>estimated from our CL-BM regression database</text>
  </threadedComment>
  <threadedComment ref="M2296" dT="2020-09-11T15:33:42.72" personId="{9C2FB8A0-69AC-4C09-B3A4-DE31F95E4871}" id="{88F57423-65EB-472E-B278-2D04D56B33FA}">
    <text>Estimated from regression Iverson and Moler 1997 (Sept 2020)
Note: converted CL to PL (PL/CL = 0.783)</text>
  </threadedComment>
  <threadedComment ref="N2298" dT="2020-09-23T13:06:30.17" personId="{9C2FB8A0-69AC-4C09-B3A4-DE31F95E4871}" id="{193CECFE-4B4A-4476-A4E0-2FE29F0F828B}">
    <text>estimated from BM-CL regression database from Iverson and Moler 1997 (Sept 2020)</text>
  </threadedComment>
  <threadedComment ref="I2300" dT="2021-01-21T18:22:00.72" personId="{06DEDB07-59D1-417E-83D0-6B7F6C6F5DD5}" id="{48627094-9A6A-4A2E-A2C8-17E14E3E864C}">
    <text>estimated ca 29</text>
  </threadedComment>
  <threadedComment ref="T2301" dT="2020-09-29T16:58:31.78" personId="{9C2FB8A0-69AC-4C09-B3A4-DE31F95E4871}" id="{71BF37A3-43BC-468A-810A-DD2BD6CCE3F5}">
    <text>estimated from egg regression database (SEPT 2020)</text>
  </threadedComment>
  <threadedComment ref="I2305" dT="2021-01-21T18:22:48.25" personId="{06DEDB07-59D1-417E-83D0-6B7F6C6F5DD5}" id="{0466AF37-1BA1-44FA-A6F9-C16B619C7833}">
    <text>estimated ca. 31</text>
  </threadedComment>
  <threadedComment ref="I2306" dT="2021-01-21T18:22:30.75" personId="{06DEDB07-59D1-417E-83D0-6B7F6C6F5DD5}" id="{D7BE4109-D1EB-40A1-BAD4-50DCDAB2A85F}">
    <text>estimated ca 32.5</text>
  </threadedComment>
  <threadedComment ref="T2310" dT="2020-10-12T14:13:24.29" personId="{9C2FB8A0-69AC-4C09-B3A4-DE31F95E4871}" id="{5BFD1EF0-8527-4F75-9682-173987A06A5F}">
    <text>estimated from egg regression database (OCt 2020)</text>
  </threadedComment>
  <threadedComment ref="N2317" dT="2020-08-04T19:12:43.93" personId="{9C2FB8A0-69AC-4C09-B3A4-DE31F95E4871}" id="{760203FE-AE8C-4CD5-93EF-3F1C074F9337}">
    <text>estimated BM-CL regression dataset using Apalone spinifera from NE from Iverson unpublished</text>
  </threadedComment>
  <threadedComment ref="T2318" dT="2020-10-12T14:13:24.29" personId="{9C2FB8A0-69AC-4C09-B3A4-DE31F95E4871}" id="{6353C889-F2D8-415C-AA25-85870ACB781A}">
    <text>estimated from egg regression database (OCt 2020)</text>
  </threadedComment>
  <threadedComment ref="R2327" dT="2020-08-03T19:56:37.73" personId="{9C2FB8A0-69AC-4C09-B3A4-DE31F95E4871}" id="{5E33DD34-B180-4B47-9B6C-382D0F0EFCB9}">
    <text>estimated from egg datasheet</text>
  </threadedComment>
  <threadedComment ref="S2327" dT="2020-08-03T19:55:43.99" personId="{9C2FB8A0-69AC-4C09-B3A4-DE31F95E4871}" id="{A7C3D965-E912-41EE-8692-CDAA7A31E606}">
    <text>estimated from our egg datasheets</text>
  </threadedComment>
  <threadedComment ref="N2328" dT="2020-04-01T18:07:40.21" personId="{BB9FA97D-30F9-450E-953B-CAF857939ABE}" id="{024357E8-62E1-4430-B75D-BA2AADBD594F}">
    <text>estimated from BM = 0.1012*CL^2.951 Iverson (1984) and Dunson (1967)</text>
  </threadedComment>
  <threadedComment ref="P2328" dT="2022-02-05T13:56:18.40" personId="{4E95C416-F42E-44F8-BD76-9627AA3B78BA}" id="{D7B8581C-9B46-4AA4-A88F-26A0A58D1D33}">
    <text>reported value of 26 apparently represents two clutches</text>
  </threadedComment>
  <threadedComment ref="T2328" dT="2022-02-05T13:56:57.54" personId="{4E95C416-F42E-44F8-BD76-9627AA3B78BA}" id="{156DA0B2-65BE-46FC-9920-8E2DD30BF034}">
    <text>estimated using our egg database.</text>
  </threadedComment>
  <threadedComment ref="N2331" dT="2020-07-02T18:12:27.33" personId="{9C2FB8A0-69AC-4C09-B3A4-DE31F95E4871}" id="{6C02B632-461D-4133-8D96-87F72CA5777C}">
    <text>estimated from BM = 0.00015996*CL^2.8994 Iverson (unpublished) from Nebraska</text>
  </threadedComment>
  <threadedComment ref="T2334" dT="2020-08-28T19:16:59.09" personId="{9C2FB8A0-69AC-4C09-B3A4-DE31F95E4871}" id="{C207DC28-A1D7-4AA9-AD67-AAB18C174D38}">
    <text>estimated from our egg database using Apalone spinifera (Aug 2020)</text>
  </threadedComment>
  <threadedComment ref="I2336" dT="2021-01-21T18:23:08.28" personId="{06DEDB07-59D1-417E-83D0-6B7F6C6F5DD5}" id="{9CA7993C-9D0F-4D59-A0D1-91B4C52B6C08}">
    <text>estimated ca. 24</text>
  </threadedComment>
  <threadedComment ref="R2339" dT="2021-01-25T17:22:56.90" personId="{06DEDB07-59D1-417E-83D0-6B7F6C6F5DD5}" id="{0794CA83-BEDB-4A1A-883F-36FE75F54994}">
    <text>estimated from 36-42 by taking median</text>
  </threadedComment>
  <threadedComment ref="N2340" dT="2021-02-15T19:37:12.78" personId="{06DEDB07-59D1-417E-83D0-6B7F6C6F5DD5}" id="{F1138AD9-5D67-48AC-88D4-F1EC63FBFC36}">
    <text>estimated from cross-population means from genus</text>
  </threadedComment>
  <threadedComment ref="T2340" dT="2020-08-28T19:16:59.09" personId="{9C2FB8A0-69AC-4C09-B3A4-DE31F95E4871}" id="{4F15CBE8-7342-4BF2-929F-C59AD698ED19}">
    <text>estimated from our egg database using Apalone spinifera (Aug 2020)</text>
  </threadedComment>
  <threadedComment ref="M2341" dT="2021-02-03T13:47:39.62" personId="{06DEDB07-59D1-417E-83D0-6B7F6C6F5DD5}" id="{DB344B73-9FE5-4042-884F-934E05B243AA}">
    <text>CCL 74 cm</text>
  </threadedComment>
  <threadedComment ref="M2342" dT="2021-02-03T13:47:04.90" personId="{06DEDB07-59D1-417E-83D0-6B7F6C6F5DD5}" id="{295C0F03-7ABC-4E78-B80F-A797BDAC9A2C}">
    <text>22.5 cm disk length</text>
  </threadedComment>
  <threadedComment ref="T2342" dT="2020-08-28T19:16:59.09" personId="{9C2FB8A0-69AC-4C09-B3A4-DE31F95E4871}" id="{7A4F0084-C964-4E96-B565-4C24315603F6}">
    <text>estimated from our egg database using Apalone spinifera (Aug 2020)</text>
  </threadedComment>
  <threadedComment ref="N2345" dT="2020-09-28T17:54:18.98" personId="{9C2FB8A0-69AC-4C09-B3A4-DE31F95E4871}" id="{C19EA697-FE81-49DB-9574-B83FF94D29C2}">
    <text>estimated from BM-CL regression database using A. spinifera from Iverson unpublished (SEPT 2020)</text>
  </threadedComment>
  <threadedComment ref="R2345" dT="2020-09-28T17:55:48.06" personId="{9C2FB8A0-69AC-4C09-B3A4-DE31F95E4871}" id="{47205515-E5A8-4F4E-AA0E-2E46EE720105}">
    <text>estimated from ranges in original paper</text>
  </threadedComment>
  <threadedComment ref="T2345" dT="2020-08-28T19:16:59.09" personId="{9C2FB8A0-69AC-4C09-B3A4-DE31F95E4871}" id="{33F38BBE-AC3A-47CD-A6A8-6B564FE31F47}">
    <text>estimated from our egg database using Apalone spinifera (Aug 2020)</text>
  </threadedComment>
  <threadedComment ref="X2345" dT="2020-09-28T17:55:07.47" personId="{9C2FB8A0-69AC-4C09-B3A4-DE31F95E4871}" id="{C03B4414-9F1C-4AD9-80FC-CE4F4F2EC76A}">
    <text>based on follicle counts in dissected female</text>
  </threadedComment>
  <threadedComment ref="F2349" dT="2021-03-15T14:45:14.55" personId="{06DEDB07-59D1-417E-83D0-6B7F6C6F5DD5}" id="{B66479C9-3DF8-40B6-9683-E0148C156197}">
    <text>(Madras Croc Park)</text>
  </threadedComment>
  <threadedComment ref="R2354" dT="2020-12-28T15:37:28.30" personId="{06DEDB07-59D1-417E-83D0-6B7F6C6F5DD5}" id="{BB7BCBC0-B271-4035-9C03-3D5576D6DD6A}">
    <text>reported 24-30</text>
  </threadedComment>
  <threadedComment ref="S2354" dT="2020-12-28T15:37:28.30" personId="{06DEDB07-59D1-417E-83D0-6B7F6C6F5DD5}" id="{D8A0EA03-E963-4034-8BE3-F6EB119B5ED0}">
    <text>reported 24-30</text>
  </threadedComment>
  <threadedComment ref="T2354" dT="2020-12-28T15:39:05.31" personId="{06DEDB07-59D1-417E-83D0-6B7F6C6F5DD5}" id="{AF28B778-BD66-4220-B940-621462E3CA9C}">
    <text>estimated from our egg regression database DEC 2020</text>
  </threadedComment>
  <threadedComment ref="I2357" dT="2021-01-07T15:18:28.68" personId="{06DEDB07-59D1-417E-83D0-6B7F6C6F5DD5}" id="{EEA5D969-CF9C-492E-9869-E0311234EA3D}">
    <text>Not provided by authors but estimated from the map.</text>
  </threadedComment>
  <threadedComment ref="I2358" dT="2021-01-25T17:04:02.02" personId="{06DEDB07-59D1-417E-83D0-6B7F6C6F5DD5}" id="{70CF220E-9293-4004-A8B0-1D5AD4945BE0}">
    <text>estimated ca. 24</text>
  </threadedComment>
  <threadedComment ref="P2358" dT="2021-01-25T17:15:14.67" personId="{06DEDB07-59D1-417E-83D0-6B7F6C6F5DD5}" id="{419E48DB-0808-4B8D-903A-E1DEBC8E0F6A}">
    <text>estimated from 2-14 by taking median</text>
  </threadedComment>
  <threadedComment ref="I2359" dT="2021-01-25T17:03:53.16" personId="{06DEDB07-59D1-417E-83D0-6B7F6C6F5DD5}" id="{F21F1CA7-A95D-49DC-819B-54268FF010D5}">
    <text>estimated ca. 23</text>
  </threadedComment>
  <threadedComment ref="R2362" dT="2020-12-28T15:39:14.80" personId="{06DEDB07-59D1-417E-83D0-6B7F6C6F5DD5}" id="{B7A795B9-3D42-4F8D-A0CA-45AD0DD9713B}">
    <text>reported 30-33</text>
  </threadedComment>
  <threadedComment ref="X2366" dT="2020-12-01T18:30:26.73" personId="{06DEDB07-59D1-417E-83D0-6B7F6C6F5DD5}" id="{B1A07E58-C050-43C3-9723-0E0DFF2F72AF}">
    <text>1-2 from source</text>
  </threadedComment>
  <threadedComment ref="I2370" dT="2021-01-21T18:23:54.94" personId="{06DEDB07-59D1-417E-83D0-6B7F6C6F5DD5}" id="{6BC8B08F-9FAD-4E8E-B4CC-EA4C2AB736A6}">
    <text>estimated ca. 24</text>
  </threadedComment>
  <threadedComment ref="N2373" dT="2020-07-02T18:01:27.87" personId="{9C2FB8A0-69AC-4C09-B3A4-DE31F95E4871}" id="{241F0E2D-19D6-4A56-B7E0-16DF2ECB0272}">
    <text>Estimated from BM = 2.2356*CL^2.2487 via Rom Whitaker (pers. com.)</text>
  </threadedComment>
  <threadedComment ref="N2373" dT="2020-07-02T18:10:57.91" personId="{9C2FB8A0-69AC-4C09-B3A4-DE31F95E4871}" id="{940E5786-3CE5-4C3D-BE63-BDB6A6C066BB}" parentId="{241F0E2D-19D6-4A56-B7E0-16DF2ECB0272}">
    <text>seems very low</text>
  </threadedComment>
  <threadedComment ref="I2375" dT="2021-01-21T18:24:21.82" personId="{06DEDB07-59D1-417E-83D0-6B7F6C6F5DD5}" id="{6EFE3BDA-85D7-4B61-AE69-4B81693CDD00}">
    <text>estimated ca. 24</text>
  </threadedComment>
  <threadedComment ref="O2377" dT="2022-02-13T12:52:17.47" personId="{4E95C416-F42E-44F8-BD76-9627AA3B78BA}" id="{7BDE8AB0-4EBE-433A-81F7-894791273CC4}">
    <text>reported 7-10 years</text>
  </threadedComment>
  <threadedComment ref="P2378" dT="2021-01-25T17:14:29.62" personId="{06DEDB07-59D1-417E-83D0-6B7F6C6F5DD5}" id="{BE3043FC-2250-4B67-9F32-69A59EE109E5}">
    <text>estimated from 10-38 by taking median</text>
  </threadedComment>
  <threadedComment ref="R2378" dT="2020-12-28T15:39:36.28" personId="{06DEDB07-59D1-417E-83D0-6B7F6C6F5DD5}" id="{614B9C8D-E2CD-4490-B061-3537E2DCA118}">
    <text>report 32.4-36.3</text>
  </threadedComment>
  <threadedComment ref="S2378" dT="2020-12-28T15:39:52.21" personId="{06DEDB07-59D1-417E-83D0-6B7F6C6F5DD5}" id="{500C8180-3A20-4F1F-8A19-7BB58A7DA77A}">
    <text>reported 22.3-29.3; clearly incorrect because species produces round eggs.</text>
  </threadedComment>
  <threadedComment ref="N2380" dT="2020-10-16T13:16:10.64" personId="{9C2FB8A0-69AC-4C09-B3A4-DE31F95E4871}" id="{487DD908-9C2F-42F7-9C5D-F36A4D1A9256}">
    <text>estimated from BM-CL regression database using N. gangetica (Oct 2020)</text>
  </threadedComment>
  <threadedComment ref="N2381" dT="2021-01-25T18:11:09.03" personId="{06DEDB07-59D1-417E-83D0-6B7F6C6F5DD5}" id="{F4A90030-164B-4A60-9A30-6B4221EEF44D}">
    <text>estimated from BM-CL regression database using N. gangetica (Oct 2020)</text>
  </threadedComment>
  <threadedComment ref="M2382" dT="2021-01-25T17:06:42.24" personId="{06DEDB07-59D1-417E-83D0-6B7F6C6F5DD5}" id="{D0E4B527-FAF6-44C0-B6C0-211A5072342C}">
    <text>estimated ca. 40</text>
  </threadedComment>
  <threadedComment ref="N2382" dT="2020-10-16T13:16:10.64" personId="{9C2FB8A0-69AC-4C09-B3A4-DE31F95E4871}" id="{8D808BFB-949E-4F02-8B82-324C610A868C}">
    <text>estimated from BM-CL regression database using N. gangetica (Oct 2020)</text>
  </threadedComment>
  <threadedComment ref="N2384" dT="2020-08-04T19:14:52.73" personId="{9C2FB8A0-69AC-4C09-B3A4-DE31F95E4871}" id="{EDD3BF56-0647-48AA-958B-2CC3B6C98130}">
    <text>estimated from BM-CL regression datasets using N. gangetica from Rom Whitaker, pers. communication</text>
  </threadedComment>
  <threadedComment ref="P2384" dT="2021-01-25T17:15:35.10" personId="{06DEDB07-59D1-417E-83D0-6B7F6C6F5DD5}" id="{778CF0F8-3850-40DC-9039-4A6974EE6368}">
    <text>estimated from 3-28 by taking median</text>
  </threadedComment>
  <threadedComment ref="O2385" dT="2022-03-11T17:11:13.81" personId="{4E95C416-F42E-44F8-BD76-9627AA3B78BA}" id="{63E104E3-5B2F-4044-AFB5-909F62987157}">
    <text>5-6 reported</text>
  </threadedComment>
  <threadedComment ref="T2394" dT="2020-08-03T19:59:58.37" personId="{9C2FB8A0-69AC-4C09-B3A4-DE31F95E4871}" id="{451041C0-0913-4A7D-AAEB-95B3323602B8}">
    <text>estimated from our egg datasheet</text>
  </threadedComment>
  <threadedComment ref="O2396" dT="2022-03-11T17:24:47.68" personId="{4E95C416-F42E-44F8-BD76-9627AA3B78BA}" id="{86CBD2C3-8BDA-4157-864C-5940BF8C4A0A}">
    <text>6-7 years reported</text>
  </threadedComment>
  <threadedComment ref="I2398" dT="2021-01-21T18:56:59.27" personId="{06DEDB07-59D1-417E-83D0-6B7F6C6F5DD5}" id="{6B465731-767A-4199-9EA0-BF7F68C4E164}">
    <text>estimated ca. 29</text>
  </threadedComment>
  <threadedComment ref="I2401" dT="2021-01-21T18:56:59.27" personId="{06DEDB07-59D1-417E-83D0-6B7F6C6F5DD5}" id="{6B35E40C-B44D-4F0A-932E-90A7517AFB1D}">
    <text>estimated ca. 29</text>
  </threadedComment>
  <threadedComment ref="O2402" dT="2022-03-11T17:23:49.68" personId="{4E95C416-F42E-44F8-BD76-9627AA3B78BA}" id="{FB67E549-6374-4779-B09D-291732D402AF}">
    <text>5-6 report</text>
  </threadedComment>
  <threadedComment ref="R2402" dT="2021-01-25T17:18:05.42" personId="{06DEDB07-59D1-417E-83D0-6B7F6C6F5DD5}" id="{581161CE-2086-4EFB-8D12-14FA33D596AB}">
    <text>estimated from 18-21 by taking median</text>
  </threadedComment>
  <threadedComment ref="S2402" dT="2021-01-25T17:20:25.13" personId="{06DEDB07-59D1-417E-83D0-6B7F6C6F5DD5}" id="{AAF70ADF-DD37-41BC-9C0D-AD83C56F7FCB}">
    <text>estimated from 18-21 by taking median</text>
  </threadedComment>
  <threadedComment ref="N2405" dT="2020-09-23T13:07:40.53" personId="{9C2FB8A0-69AC-4C09-B3A4-DE31F95E4871}" id="{9C55D556-A5E3-430E-B902-52FE29EC6261}">
    <text>estimated from BM-CL regression database using Lissemys punctata from Yadava and Prasad 1982 (Sept 2020)</text>
  </threadedComment>
  <threadedComment ref="T2405" dT="2020-09-24T14:53:05.55" personId="{9C2FB8A0-69AC-4C09-B3A4-DE31F95E4871}" id="{A654857A-6A4A-4350-9802-5828D8A94247}">
    <text>estiamted from our egg regression database using P. sinensis (Sept 2020)</text>
  </threadedComment>
  <threadedComment ref="D2406" dT="2021-01-08T15:54:35.05" personId="{06DEDB07-59D1-417E-83D0-6B7F6C6F5DD5}" id="{B9CD5796-9A10-4635-8953-9B8806E2A2F2}">
    <text>questionable species identification</text>
  </threadedComment>
  <threadedComment ref="R2406" dT="2021-01-25T17:30:52.36" personId="{06DEDB07-59D1-417E-83D0-6B7F6C6F5DD5}" id="{CED65E50-2842-4E3B-87C4-99A17D0EA83F}">
    <text>estimated "20"</text>
  </threadedComment>
  <threadedComment ref="S2406" dT="2021-01-25T17:30:52.36" personId="{06DEDB07-59D1-417E-83D0-6B7F6C6F5DD5}" id="{0ADDE1DE-E725-4274-A3C1-440A10F725DE}">
    <text>estimated "20"</text>
  </threadedComment>
  <threadedComment ref="S2409" dT="2021-01-25T17:39:08.02" personId="{06DEDB07-59D1-417E-83D0-6B7F6C6F5DD5}" id="{3ACEB616-B098-4FBC-99BC-7024A629FCF5}">
    <text>estimated from 19.5-21 by taking median</text>
  </threadedComment>
  <threadedComment ref="I2414" dT="2021-01-25T17:03:35.61" personId="{06DEDB07-59D1-417E-83D0-6B7F6C6F5DD5}" id="{33D72975-2042-4129-BC69-E48811CDA4BC}">
    <text>estimated ca. 37</text>
  </threadedComment>
  <threadedComment ref="T2416" dT="2020-08-03T20:02:36.90" personId="{9C2FB8A0-69AC-4C09-B3A4-DE31F95E4871}" id="{72CE331A-6C90-41F6-B892-02F9221BED4A}">
    <text>estiamted from our egg datasheet using Apalone spinifera</text>
  </threadedComment>
  <threadedComment ref="T2417" dT="2020-08-03T20:02:36.90" personId="{9C2FB8A0-69AC-4C09-B3A4-DE31F95E4871}" id="{72ECCAE6-4AA6-4C33-A384-A096AFAD004B}">
    <text>estiamted from our egg datasheet using Apalone spinifera</text>
  </threadedComment>
  <threadedComment ref="T2418" dT="2021-02-03T13:49:51.83" personId="{06DEDB07-59D1-417E-83D0-6B7F6C6F5DD5}" id="{C13376F1-93C4-4803-BD9A-94117E03FCD0}">
    <text>authors report a range of 33-35g, which has to be incorrect. We estimated EM from our egg database using data from A. ferox.</text>
  </threadedComment>
  <threadedComment ref="N2419" dT="2020-09-29T15:24:19.01" personId="{9C2FB8A0-69AC-4C09-B3A4-DE31F95E4871}" id="{5DACFD95-C569-4A92-9BFC-1206D83627E2}">
    <text>estimated from BM-CL regression database using Gramentz 2005</text>
  </threadedComment>
  <threadedComment ref="P2419" dT="2021-01-25T17:14:08.01" personId="{06DEDB07-59D1-417E-83D0-6B7F6C6F5DD5}" id="{F8AE02CE-847D-4350-9F89-91E14CC94849}">
    <text>estimated from 8-34 by taking median</text>
  </threadedComment>
  <threadedComment ref="T2419" dT="2020-08-03T20:05:07.69" personId="{9C2FB8A0-69AC-4C09-B3A4-DE31F95E4871}" id="{17283E19-39E7-408C-AE7D-D7B9A3996DBB}">
    <text>estimated from our egg dataset using Nilssonia gangeticus</text>
  </threadedComment>
  <threadedComment ref="T2421" dT="2020-08-03T20:05:07.69" personId="{9C2FB8A0-69AC-4C09-B3A4-DE31F95E4871}" id="{72619C17-E884-496D-B962-F57071FF8C36}">
    <text>estimated from our egg dataset using Nilssonia gangeticus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14D8-D928-2D43-A633-01260FF0E3A4}">
  <dimension ref="A1"/>
  <sheetViews>
    <sheetView tabSelected="1" workbookViewId="0">
      <selection activeCell="K14" sqref="K14"/>
    </sheetView>
  </sheetViews>
  <sheetFormatPr baseColWidth="10" defaultRowHeight="13" x14ac:dyDescent="0.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BF2528"/>
  <sheetViews>
    <sheetView topLeftCell="N1" workbookViewId="0">
      <pane ySplit="1" topLeftCell="A427" activePane="bottomLeft" state="frozen"/>
      <selection activeCell="D1" sqref="D1"/>
      <selection pane="bottomLeft" activeCell="T447" sqref="T447"/>
    </sheetView>
  </sheetViews>
  <sheetFormatPr baseColWidth="10" defaultColWidth="14.5" defaultRowHeight="13" x14ac:dyDescent="0.15"/>
  <cols>
    <col min="1" max="1" width="16" style="2" bestFit="1" customWidth="1"/>
    <col min="2" max="3" width="16" style="2" customWidth="1"/>
    <col min="4" max="4" width="29.6640625" style="2" bestFit="1" customWidth="1"/>
    <col min="5" max="5" width="18.5" style="2" bestFit="1" customWidth="1"/>
    <col min="6" max="6" width="58.6640625" style="2" bestFit="1" customWidth="1"/>
    <col min="7" max="7" width="12.1640625" style="2" bestFit="1" customWidth="1"/>
    <col min="8" max="8" width="18.83203125" style="2" bestFit="1" customWidth="1"/>
    <col min="9" max="9" width="14" style="2" bestFit="1" customWidth="1"/>
    <col min="10" max="10" width="17.6640625" style="2" bestFit="1" customWidth="1"/>
    <col min="11" max="11" width="11.33203125" style="2" customWidth="1"/>
    <col min="12" max="12" width="17.33203125" style="2" bestFit="1" customWidth="1"/>
    <col min="13" max="13" width="15.6640625" style="2" bestFit="1" customWidth="1"/>
    <col min="14" max="14" width="21.1640625" style="2" bestFit="1" customWidth="1"/>
    <col min="15" max="15" width="20.33203125" style="2" bestFit="1" customWidth="1"/>
    <col min="16" max="16" width="18.83203125" style="2" bestFit="1" customWidth="1"/>
    <col min="17" max="17" width="21.6640625" style="2" bestFit="1" customWidth="1"/>
    <col min="18" max="18" width="18.5" style="2" bestFit="1" customWidth="1"/>
    <col min="19" max="19" width="14" style="2" bestFit="1" customWidth="1"/>
    <col min="20" max="20" width="16.5" style="2" bestFit="1" customWidth="1"/>
    <col min="21" max="21" width="17.33203125" style="2" bestFit="1" customWidth="1"/>
    <col min="22" max="22" width="15.5" style="2" bestFit="1" customWidth="1"/>
    <col min="23" max="23" width="241" style="6" bestFit="1" customWidth="1"/>
    <col min="24" max="24" width="15.33203125" style="2" bestFit="1" customWidth="1"/>
    <col min="25" max="16384" width="14.5" style="2"/>
  </cols>
  <sheetData>
    <row r="1" spans="1:23" x14ac:dyDescent="0.15">
      <c r="A1" s="4" t="s">
        <v>0</v>
      </c>
      <c r="B1" s="4" t="s">
        <v>3927</v>
      </c>
      <c r="C1" s="4" t="s">
        <v>3467</v>
      </c>
      <c r="D1" s="4" t="s">
        <v>1</v>
      </c>
      <c r="E1" s="4" t="s">
        <v>3652</v>
      </c>
      <c r="F1" s="4" t="s">
        <v>2</v>
      </c>
      <c r="G1" s="4" t="s">
        <v>3</v>
      </c>
      <c r="H1" s="4" t="s">
        <v>3865</v>
      </c>
      <c r="I1" s="4" t="s">
        <v>4</v>
      </c>
      <c r="J1" s="4" t="s">
        <v>5</v>
      </c>
      <c r="K1" s="4" t="s">
        <v>6</v>
      </c>
      <c r="L1" s="4" t="s">
        <v>7</v>
      </c>
      <c r="M1" s="4" t="s">
        <v>570</v>
      </c>
      <c r="N1" s="2" t="s">
        <v>572</v>
      </c>
      <c r="O1" s="4" t="s">
        <v>8</v>
      </c>
      <c r="P1" s="4" t="s">
        <v>9</v>
      </c>
      <c r="Q1" s="4" t="s">
        <v>10</v>
      </c>
      <c r="R1" s="4" t="s">
        <v>11</v>
      </c>
      <c r="S1" s="4" t="s">
        <v>12</v>
      </c>
      <c r="T1" s="4" t="s">
        <v>13</v>
      </c>
      <c r="U1" s="4" t="s">
        <v>3856</v>
      </c>
      <c r="V1" s="4" t="s">
        <v>14</v>
      </c>
      <c r="W1" s="6" t="s">
        <v>15</v>
      </c>
    </row>
    <row r="2" spans="1:23" ht="15" customHeight="1" x14ac:dyDescent="0.15">
      <c r="A2" s="2" t="s">
        <v>16</v>
      </c>
      <c r="C2" s="2" t="s">
        <v>914</v>
      </c>
      <c r="D2" s="2" t="s">
        <v>658</v>
      </c>
      <c r="E2" s="1"/>
      <c r="F2" s="2" t="s">
        <v>17</v>
      </c>
      <c r="G2" s="2">
        <v>-14</v>
      </c>
      <c r="H2" s="2" t="str">
        <f t="shared" ref="H2:H33" si="0">IF(G2="captive","C","W")</f>
        <v>W</v>
      </c>
      <c r="I2" s="5">
        <v>42.4</v>
      </c>
      <c r="J2" s="5">
        <v>5900</v>
      </c>
      <c r="K2" s="5"/>
      <c r="L2" s="5">
        <v>10.4</v>
      </c>
      <c r="M2" s="2" t="s">
        <v>571</v>
      </c>
      <c r="N2" s="5">
        <v>39.6</v>
      </c>
      <c r="O2" s="5">
        <v>38.700000000000003</v>
      </c>
      <c r="P2" s="5">
        <v>35.200000000000003</v>
      </c>
      <c r="Q2" s="2" t="s">
        <v>18</v>
      </c>
      <c r="R2" s="5">
        <v>360.9</v>
      </c>
      <c r="S2" s="5">
        <f>(R2/J2)*100</f>
        <v>6.1169491525423725</v>
      </c>
      <c r="T2" s="2">
        <v>1.8</v>
      </c>
      <c r="U2" s="2" t="str">
        <f>IF(T2&lt;=1, "1",IF(AND(T2&gt;1,T2&lt;4), "2-3", "+4"))</f>
        <v>2-3</v>
      </c>
      <c r="V2" s="5">
        <f>S2*T2</f>
        <v>11.010508474576271</v>
      </c>
      <c r="W2" s="6" t="s">
        <v>19</v>
      </c>
    </row>
    <row r="3" spans="1:23" x14ac:dyDescent="0.15">
      <c r="A3" s="2" t="s">
        <v>16</v>
      </c>
      <c r="C3" s="2" t="s">
        <v>914</v>
      </c>
      <c r="D3" s="2" t="s">
        <v>658</v>
      </c>
      <c r="E3" s="1"/>
      <c r="F3" s="2" t="s">
        <v>23</v>
      </c>
      <c r="G3" s="2">
        <v>-13</v>
      </c>
      <c r="H3" s="2" t="str">
        <f t="shared" si="0"/>
        <v>W</v>
      </c>
      <c r="I3" s="5">
        <v>45.7</v>
      </c>
      <c r="J3" s="5">
        <f xml:space="preserve"> (0.000163*I3^2.88)*1000</f>
        <v>9834.3635874535285</v>
      </c>
      <c r="K3" s="5"/>
      <c r="L3" s="5">
        <v>15</v>
      </c>
      <c r="M3" s="2" t="s">
        <v>571</v>
      </c>
      <c r="N3" s="5"/>
      <c r="O3" s="5"/>
      <c r="P3" s="5">
        <v>40.200000000000003</v>
      </c>
      <c r="Q3" s="2" t="s">
        <v>18</v>
      </c>
      <c r="R3" s="5">
        <v>603</v>
      </c>
      <c r="S3" s="5">
        <f>(R3/J3)*100</f>
        <v>6.1315609763431418</v>
      </c>
      <c r="T3" s="2">
        <v>2</v>
      </c>
      <c r="U3" s="2" t="str">
        <f>IF(T3&lt;=1, "1",IF(AND(T3&gt;1,T3&lt;4), "2-3", "+4"))</f>
        <v>2-3</v>
      </c>
      <c r="V3" s="5">
        <f>S3*T3</f>
        <v>12.263121952686284</v>
      </c>
      <c r="W3" s="6" t="s">
        <v>24</v>
      </c>
    </row>
    <row r="4" spans="1:23" ht="15" customHeight="1" x14ac:dyDescent="0.15">
      <c r="A4" s="2" t="s">
        <v>16</v>
      </c>
      <c r="C4" s="2" t="s">
        <v>914</v>
      </c>
      <c r="D4" s="2" t="s">
        <v>658</v>
      </c>
      <c r="E4" s="1"/>
      <c r="F4" s="2" t="s">
        <v>839</v>
      </c>
      <c r="G4" s="2">
        <v>-7.5</v>
      </c>
      <c r="H4" s="2" t="str">
        <f t="shared" si="0"/>
        <v>W</v>
      </c>
      <c r="I4" s="5"/>
      <c r="J4" s="5"/>
      <c r="K4" s="5"/>
      <c r="L4" s="5"/>
      <c r="M4" s="2" t="s">
        <v>571</v>
      </c>
      <c r="N4" s="5">
        <v>38</v>
      </c>
      <c r="O4" s="5">
        <v>38</v>
      </c>
      <c r="P4" s="5">
        <v>33.799999999999997</v>
      </c>
      <c r="Q4" s="2" t="s">
        <v>18</v>
      </c>
      <c r="R4" s="5"/>
      <c r="S4" s="5"/>
      <c r="W4" s="6" t="s">
        <v>2154</v>
      </c>
    </row>
    <row r="5" spans="1:23" x14ac:dyDescent="0.15">
      <c r="A5" s="2" t="s">
        <v>16</v>
      </c>
      <c r="C5" s="2" t="s">
        <v>914</v>
      </c>
      <c r="D5" s="2" t="s">
        <v>658</v>
      </c>
      <c r="E5" s="1"/>
      <c r="F5" s="2" t="s">
        <v>20</v>
      </c>
      <c r="G5" s="2">
        <v>-7</v>
      </c>
      <c r="H5" s="2" t="str">
        <f t="shared" si="0"/>
        <v>W</v>
      </c>
      <c r="I5" s="5"/>
      <c r="J5" s="5"/>
      <c r="K5" s="5"/>
      <c r="L5" s="5">
        <v>24.6</v>
      </c>
      <c r="M5" s="2" t="s">
        <v>571</v>
      </c>
      <c r="N5" s="5">
        <v>43.1</v>
      </c>
      <c r="O5" s="8">
        <f>N5/1.0204</f>
        <v>42.238337906703258</v>
      </c>
      <c r="P5" s="5">
        <v>48</v>
      </c>
      <c r="Q5" s="2" t="s">
        <v>18</v>
      </c>
      <c r="R5" s="5">
        <v>1131.3</v>
      </c>
      <c r="S5" s="5"/>
      <c r="T5" s="2">
        <v>2</v>
      </c>
      <c r="U5" s="2" t="str">
        <f>IF(T5&lt;=1, "1",IF(AND(T5&gt;1,T5&lt;4), "2-3", "+4"))</f>
        <v>2-3</v>
      </c>
      <c r="W5" s="6" t="s">
        <v>21</v>
      </c>
    </row>
    <row r="6" spans="1:23" x14ac:dyDescent="0.15">
      <c r="A6" s="2" t="s">
        <v>16</v>
      </c>
      <c r="C6" s="2" t="s">
        <v>914</v>
      </c>
      <c r="D6" s="2" t="s">
        <v>658</v>
      </c>
      <c r="E6" s="1"/>
      <c r="F6" s="2" t="s">
        <v>22</v>
      </c>
      <c r="G6" s="2">
        <v>-7</v>
      </c>
      <c r="H6" s="2" t="str">
        <f t="shared" si="0"/>
        <v>W</v>
      </c>
      <c r="I6" s="5"/>
      <c r="J6" s="5"/>
      <c r="K6" s="5"/>
      <c r="L6" s="5">
        <v>23.6</v>
      </c>
      <c r="M6" s="2" t="s">
        <v>571</v>
      </c>
      <c r="N6" s="5">
        <v>40.9</v>
      </c>
      <c r="O6" s="5">
        <v>40.08</v>
      </c>
      <c r="P6" s="5">
        <v>36.4</v>
      </c>
      <c r="Q6" s="2" t="s">
        <v>18</v>
      </c>
      <c r="R6" s="5">
        <v>858</v>
      </c>
      <c r="S6" s="5"/>
      <c r="T6" s="2">
        <v>3</v>
      </c>
      <c r="U6" s="2" t="str">
        <f>IF(T6&lt;=1, "1",IF(AND(T6&gt;1,T6&lt;4), "2-3", "+4"))</f>
        <v>2-3</v>
      </c>
      <c r="W6" s="6" t="s">
        <v>21</v>
      </c>
    </row>
    <row r="7" spans="1:23" x14ac:dyDescent="0.15">
      <c r="A7" s="2" t="s">
        <v>16</v>
      </c>
      <c r="C7" s="2" t="s">
        <v>914</v>
      </c>
      <c r="D7" s="2" t="s">
        <v>658</v>
      </c>
      <c r="E7" s="1"/>
      <c r="F7" s="2" t="s">
        <v>575</v>
      </c>
      <c r="G7" s="2">
        <v>-13.7</v>
      </c>
      <c r="H7" s="2" t="str">
        <f t="shared" si="0"/>
        <v>W</v>
      </c>
      <c r="I7" s="5"/>
      <c r="J7" s="5"/>
      <c r="K7" s="5"/>
      <c r="L7" s="5"/>
      <c r="M7" s="2" t="s">
        <v>571</v>
      </c>
      <c r="N7" s="5">
        <v>38.9</v>
      </c>
      <c r="O7" s="5">
        <v>38.9</v>
      </c>
      <c r="P7" s="5">
        <v>32.299999999999997</v>
      </c>
      <c r="Q7" s="2" t="s">
        <v>18</v>
      </c>
      <c r="R7" s="5"/>
      <c r="S7" s="5"/>
      <c r="W7" s="6" t="s">
        <v>2183</v>
      </c>
    </row>
    <row r="8" spans="1:23" x14ac:dyDescent="0.15">
      <c r="A8" s="2" t="s">
        <v>16</v>
      </c>
      <c r="C8" s="2" t="s">
        <v>914</v>
      </c>
      <c r="D8" s="2" t="s">
        <v>658</v>
      </c>
      <c r="E8" s="1"/>
      <c r="F8" s="2" t="s">
        <v>374</v>
      </c>
      <c r="G8" s="2" t="s">
        <v>374</v>
      </c>
      <c r="H8" s="2" t="str">
        <f t="shared" si="0"/>
        <v>C</v>
      </c>
      <c r="I8" s="5"/>
      <c r="J8" s="5"/>
      <c r="K8" s="5"/>
      <c r="L8" s="5">
        <v>26</v>
      </c>
      <c r="M8" s="2" t="s">
        <v>571</v>
      </c>
      <c r="N8" s="5">
        <v>40.799999999999997</v>
      </c>
      <c r="O8" s="5">
        <v>40.799999999999997</v>
      </c>
      <c r="P8" s="5">
        <v>40.1</v>
      </c>
      <c r="Q8" s="2" t="s">
        <v>18</v>
      </c>
      <c r="R8" s="5">
        <f>P8*L8</f>
        <v>1042.6000000000001</v>
      </c>
      <c r="S8" s="5"/>
      <c r="W8" s="6" t="s">
        <v>3329</v>
      </c>
    </row>
    <row r="9" spans="1:23" ht="15" customHeight="1" x14ac:dyDescent="0.15">
      <c r="A9" s="2" t="s">
        <v>16</v>
      </c>
      <c r="C9" s="2" t="s">
        <v>914</v>
      </c>
      <c r="D9" s="2" t="s">
        <v>658</v>
      </c>
      <c r="E9" s="1"/>
      <c r="F9" s="2" t="s">
        <v>374</v>
      </c>
      <c r="G9" s="2" t="s">
        <v>374</v>
      </c>
      <c r="H9" s="2" t="str">
        <f t="shared" si="0"/>
        <v>C</v>
      </c>
      <c r="I9" s="5"/>
      <c r="J9" s="5"/>
      <c r="K9" s="5"/>
      <c r="L9" s="5">
        <v>24</v>
      </c>
      <c r="M9" s="2" t="s">
        <v>571</v>
      </c>
      <c r="N9" s="5"/>
      <c r="O9" s="5"/>
      <c r="P9" s="5"/>
      <c r="R9" s="5"/>
      <c r="S9" s="5"/>
      <c r="W9" s="6" t="s">
        <v>3569</v>
      </c>
    </row>
    <row r="10" spans="1:23" x14ac:dyDescent="0.15">
      <c r="A10" s="2" t="s">
        <v>16</v>
      </c>
      <c r="C10" s="2" t="s">
        <v>914</v>
      </c>
      <c r="D10" s="2" t="s">
        <v>658</v>
      </c>
      <c r="E10" s="1"/>
      <c r="F10" s="2" t="s">
        <v>575</v>
      </c>
      <c r="G10" s="2">
        <v>-13.5</v>
      </c>
      <c r="H10" s="2" t="str">
        <f t="shared" si="0"/>
        <v>W</v>
      </c>
      <c r="I10" s="5"/>
      <c r="J10" s="5"/>
      <c r="K10" s="5"/>
      <c r="L10" s="5">
        <v>12.7</v>
      </c>
      <c r="M10" s="2" t="s">
        <v>571</v>
      </c>
      <c r="N10" s="5">
        <v>38.700000000000003</v>
      </c>
      <c r="O10" s="5">
        <v>38.700000000000003</v>
      </c>
      <c r="P10" s="5">
        <v>33.700000000000003</v>
      </c>
      <c r="Q10" s="2" t="s">
        <v>18</v>
      </c>
      <c r="R10" s="5">
        <v>429.7</v>
      </c>
      <c r="S10" s="5"/>
      <c r="W10" s="6" t="s">
        <v>3231</v>
      </c>
    </row>
    <row r="11" spans="1:23" x14ac:dyDescent="0.15">
      <c r="A11" s="2" t="s">
        <v>25</v>
      </c>
      <c r="B11" s="2" t="s">
        <v>3942</v>
      </c>
      <c r="C11" s="2" t="s">
        <v>1050</v>
      </c>
      <c r="D11" s="2" t="s">
        <v>517</v>
      </c>
      <c r="E11" s="1"/>
      <c r="F11" s="2" t="s">
        <v>518</v>
      </c>
      <c r="G11" s="2">
        <v>-22.4</v>
      </c>
      <c r="H11" s="2" t="str">
        <f t="shared" si="0"/>
        <v>W</v>
      </c>
      <c r="I11" s="5">
        <v>20.6</v>
      </c>
      <c r="J11" s="5">
        <v>1167.5</v>
      </c>
      <c r="K11" s="5"/>
      <c r="L11" s="5">
        <v>5</v>
      </c>
      <c r="M11" s="5" t="s">
        <v>571</v>
      </c>
      <c r="N11" s="5"/>
      <c r="O11" s="5"/>
      <c r="P11" s="5"/>
      <c r="R11" s="5"/>
      <c r="S11" s="5"/>
      <c r="W11" s="6" t="s">
        <v>2182</v>
      </c>
    </row>
    <row r="12" spans="1:23" x14ac:dyDescent="0.15">
      <c r="A12" s="2" t="s">
        <v>25</v>
      </c>
      <c r="B12" s="2" t="s">
        <v>3942</v>
      </c>
      <c r="C12" s="2" t="s">
        <v>1050</v>
      </c>
      <c r="D12" s="2" t="s">
        <v>517</v>
      </c>
      <c r="E12" s="1"/>
      <c r="F12" s="2" t="s">
        <v>26</v>
      </c>
      <c r="G12" s="2">
        <v>-18.98</v>
      </c>
      <c r="H12" s="2" t="str">
        <f t="shared" si="0"/>
        <v>W</v>
      </c>
      <c r="I12" s="5">
        <v>26.1</v>
      </c>
      <c r="J12" s="5">
        <v>1810</v>
      </c>
      <c r="K12" s="5"/>
      <c r="L12" s="5"/>
      <c r="M12" s="2" t="s">
        <v>571</v>
      </c>
      <c r="N12" s="5"/>
      <c r="O12" s="5"/>
      <c r="P12" s="5"/>
      <c r="R12" s="5"/>
      <c r="S12" s="5"/>
      <c r="W12" s="6" t="s">
        <v>2303</v>
      </c>
    </row>
    <row r="13" spans="1:23" x14ac:dyDescent="0.15">
      <c r="A13" s="2" t="s">
        <v>25</v>
      </c>
      <c r="B13" s="2" t="s">
        <v>3942</v>
      </c>
      <c r="C13" s="2" t="s">
        <v>1050</v>
      </c>
      <c r="D13" s="2" t="s">
        <v>517</v>
      </c>
      <c r="E13" s="1"/>
      <c r="F13" s="2" t="s">
        <v>26</v>
      </c>
      <c r="G13" s="2">
        <v>-17.27</v>
      </c>
      <c r="H13" s="2" t="str">
        <f t="shared" si="0"/>
        <v>W</v>
      </c>
      <c r="I13" s="5">
        <v>26.33</v>
      </c>
      <c r="J13" s="5">
        <v>2451.3000000000002</v>
      </c>
      <c r="K13" s="5"/>
      <c r="L13" s="5">
        <v>5.5</v>
      </c>
      <c r="M13" s="5" t="s">
        <v>571</v>
      </c>
      <c r="N13" s="5">
        <v>30.204999999999998</v>
      </c>
      <c r="O13" s="5">
        <v>29.1</v>
      </c>
      <c r="P13" s="5">
        <v>16.09</v>
      </c>
      <c r="Q13" s="2" t="s">
        <v>18</v>
      </c>
      <c r="R13" s="5">
        <v>88.5</v>
      </c>
      <c r="S13" s="5">
        <v>3.88</v>
      </c>
      <c r="W13" s="6" t="s">
        <v>2181</v>
      </c>
    </row>
    <row r="14" spans="1:23" x14ac:dyDescent="0.15">
      <c r="A14" s="2" t="s">
        <v>25</v>
      </c>
      <c r="B14" s="2" t="s">
        <v>3942</v>
      </c>
      <c r="C14" s="2" t="s">
        <v>1050</v>
      </c>
      <c r="D14" s="2" t="s">
        <v>517</v>
      </c>
      <c r="E14" s="1"/>
      <c r="F14" s="2" t="s">
        <v>518</v>
      </c>
      <c r="G14" s="2">
        <v>-21.59</v>
      </c>
      <c r="H14" s="2" t="str">
        <f t="shared" si="0"/>
        <v>W</v>
      </c>
      <c r="I14" s="5">
        <v>20.6</v>
      </c>
      <c r="J14" s="5"/>
      <c r="K14" s="5"/>
      <c r="L14" s="5"/>
      <c r="M14" s="2" t="s">
        <v>571</v>
      </c>
      <c r="N14" s="5">
        <v>27.5</v>
      </c>
      <c r="O14" s="5">
        <v>26</v>
      </c>
      <c r="P14" s="5"/>
      <c r="R14" s="5"/>
      <c r="S14" s="5"/>
      <c r="W14" s="6" t="s">
        <v>28</v>
      </c>
    </row>
    <row r="15" spans="1:23" x14ac:dyDescent="0.15">
      <c r="A15" s="2" t="s">
        <v>25</v>
      </c>
      <c r="B15" s="2" t="s">
        <v>3942</v>
      </c>
      <c r="C15" s="2" t="s">
        <v>1050</v>
      </c>
      <c r="D15" s="2" t="s">
        <v>517</v>
      </c>
      <c r="E15" s="1"/>
      <c r="F15" s="2" t="s">
        <v>26</v>
      </c>
      <c r="H15" s="2" t="s">
        <v>3887</v>
      </c>
      <c r="I15" s="5"/>
      <c r="J15" s="5"/>
      <c r="K15" s="5"/>
      <c r="L15" s="5">
        <f>MEDIAN(4,8)</f>
        <v>6</v>
      </c>
      <c r="M15" s="5" t="s">
        <v>571</v>
      </c>
      <c r="N15" s="5">
        <v>30</v>
      </c>
      <c r="O15" s="5">
        <v>28</v>
      </c>
      <c r="P15" s="5">
        <f>MEDIAN(11,20)</f>
        <v>15.5</v>
      </c>
      <c r="Q15" s="2" t="s">
        <v>18</v>
      </c>
      <c r="R15" s="5">
        <f>P15*L15</f>
        <v>93</v>
      </c>
      <c r="S15" s="5"/>
      <c r="W15" s="6" t="s">
        <v>2165</v>
      </c>
    </row>
    <row r="16" spans="1:23" ht="15" customHeight="1" x14ac:dyDescent="0.15">
      <c r="A16" s="2" t="s">
        <v>25</v>
      </c>
      <c r="B16" s="2" t="s">
        <v>3942</v>
      </c>
      <c r="C16" s="2" t="s">
        <v>1050</v>
      </c>
      <c r="D16" s="2" t="s">
        <v>528</v>
      </c>
      <c r="E16" s="1"/>
      <c r="F16" s="2" t="s">
        <v>247</v>
      </c>
      <c r="H16" s="2" t="s">
        <v>3887</v>
      </c>
      <c r="I16" s="5"/>
      <c r="J16" s="5"/>
      <c r="K16" s="5"/>
      <c r="L16" s="5"/>
      <c r="M16" s="2" t="s">
        <v>571</v>
      </c>
      <c r="N16" s="5">
        <v>25</v>
      </c>
      <c r="O16" s="5">
        <v>24</v>
      </c>
      <c r="P16" s="5"/>
      <c r="R16" s="5"/>
      <c r="S16" s="5"/>
      <c r="W16" s="6" t="s">
        <v>2769</v>
      </c>
    </row>
    <row r="17" spans="1:23" ht="15" customHeight="1" x14ac:dyDescent="0.15">
      <c r="A17" s="2" t="s">
        <v>25</v>
      </c>
      <c r="B17" s="2" t="s">
        <v>3942</v>
      </c>
      <c r="C17" s="2" t="s">
        <v>1050</v>
      </c>
      <c r="D17" s="2" t="s">
        <v>528</v>
      </c>
      <c r="E17" s="1"/>
      <c r="F17" s="2" t="s">
        <v>374</v>
      </c>
      <c r="G17" s="2" t="s">
        <v>374</v>
      </c>
      <c r="H17" s="2" t="str">
        <f t="shared" si="0"/>
        <v>C</v>
      </c>
      <c r="I17" s="5">
        <v>13.7</v>
      </c>
      <c r="J17" s="5">
        <v>402</v>
      </c>
      <c r="K17" s="5"/>
      <c r="L17" s="5">
        <v>2.5</v>
      </c>
      <c r="M17" s="2" t="s">
        <v>571</v>
      </c>
      <c r="N17" s="5">
        <v>26.6</v>
      </c>
      <c r="O17" s="5">
        <v>22.8</v>
      </c>
      <c r="P17" s="5">
        <v>8.68</v>
      </c>
      <c r="Q17" s="2" t="s">
        <v>18</v>
      </c>
      <c r="R17" s="5">
        <v>21.7</v>
      </c>
      <c r="S17" s="5">
        <v>5.4</v>
      </c>
      <c r="W17" s="6" t="s">
        <v>2194</v>
      </c>
    </row>
    <row r="18" spans="1:23" ht="15" customHeight="1" x14ac:dyDescent="0.15">
      <c r="A18" s="2" t="s">
        <v>25</v>
      </c>
      <c r="B18" s="2" t="s">
        <v>3942</v>
      </c>
      <c r="C18" s="2" t="s">
        <v>1050</v>
      </c>
      <c r="D18" s="2" t="s">
        <v>528</v>
      </c>
      <c r="E18" s="1"/>
      <c r="F18" s="2" t="s">
        <v>247</v>
      </c>
      <c r="G18" s="2" t="s">
        <v>374</v>
      </c>
      <c r="H18" s="2" t="str">
        <f t="shared" si="0"/>
        <v>C</v>
      </c>
      <c r="I18" s="5">
        <v>14.4</v>
      </c>
      <c r="J18" s="5">
        <v>369.17</v>
      </c>
      <c r="K18" s="5"/>
      <c r="L18" s="5"/>
      <c r="M18" s="2" t="s">
        <v>571</v>
      </c>
      <c r="N18" s="5">
        <v>24.46</v>
      </c>
      <c r="O18" s="5">
        <v>22.15</v>
      </c>
      <c r="P18" s="5">
        <f>(0.186*N18)+(0.394*O18)-5.219</f>
        <v>8.0576599999999985</v>
      </c>
      <c r="Q18" s="2" t="s">
        <v>376</v>
      </c>
      <c r="R18" s="5"/>
      <c r="S18" s="5"/>
      <c r="W18" s="6" t="s">
        <v>530</v>
      </c>
    </row>
    <row r="19" spans="1:23" ht="15" customHeight="1" x14ac:dyDescent="0.15">
      <c r="A19" s="1" t="s">
        <v>25</v>
      </c>
      <c r="B19" s="2" t="s">
        <v>3942</v>
      </c>
      <c r="C19" s="2" t="s">
        <v>1050</v>
      </c>
      <c r="D19" s="1" t="s">
        <v>528</v>
      </c>
      <c r="E19" s="1"/>
      <c r="F19" s="1" t="s">
        <v>374</v>
      </c>
      <c r="G19" s="1" t="s">
        <v>374</v>
      </c>
      <c r="H19" s="2" t="str">
        <f t="shared" si="0"/>
        <v>C</v>
      </c>
      <c r="I19" s="8"/>
      <c r="J19" s="8"/>
      <c r="K19" s="8"/>
      <c r="L19" s="8">
        <v>3</v>
      </c>
      <c r="M19" s="2" t="s">
        <v>571</v>
      </c>
      <c r="N19" s="8">
        <v>26</v>
      </c>
      <c r="O19" s="8">
        <v>19</v>
      </c>
      <c r="P19" s="8">
        <v>7.1029999999999998</v>
      </c>
      <c r="Q19" s="1" t="s">
        <v>376</v>
      </c>
      <c r="R19" s="8">
        <v>21.309000000000001</v>
      </c>
      <c r="S19" s="8"/>
      <c r="T19" s="1"/>
      <c r="U19" s="1"/>
      <c r="V19" s="1"/>
      <c r="W19" s="6" t="s">
        <v>3579</v>
      </c>
    </row>
    <row r="20" spans="1:23" x14ac:dyDescent="0.15">
      <c r="A20" s="2" t="s">
        <v>25</v>
      </c>
      <c r="B20" s="2" t="s">
        <v>3942</v>
      </c>
      <c r="C20" s="2" t="s">
        <v>1050</v>
      </c>
      <c r="D20" s="2" t="s">
        <v>528</v>
      </c>
      <c r="E20" s="1"/>
      <c r="F20" s="2" t="s">
        <v>247</v>
      </c>
      <c r="H20" s="2" t="s">
        <v>3887</v>
      </c>
      <c r="I20" s="5">
        <v>14.5</v>
      </c>
      <c r="J20" s="5">
        <v>348.3</v>
      </c>
      <c r="K20" s="5"/>
      <c r="L20" s="5"/>
      <c r="M20" s="2" t="s">
        <v>571</v>
      </c>
      <c r="N20" s="5">
        <v>20</v>
      </c>
      <c r="O20" s="5"/>
      <c r="P20" s="7">
        <f>MEDIAN(4,5)</f>
        <v>4.5</v>
      </c>
      <c r="Q20" s="2" t="s">
        <v>18</v>
      </c>
      <c r="R20" s="5"/>
      <c r="S20" s="5"/>
      <c r="W20" s="6" t="s">
        <v>2768</v>
      </c>
    </row>
    <row r="21" spans="1:23" x14ac:dyDescent="0.15">
      <c r="A21" s="2" t="s">
        <v>25</v>
      </c>
      <c r="B21" s="2" t="s">
        <v>3942</v>
      </c>
      <c r="C21" s="2" t="s">
        <v>1050</v>
      </c>
      <c r="D21" s="2" t="s">
        <v>528</v>
      </c>
      <c r="E21" s="1"/>
      <c r="F21" s="2" t="s">
        <v>529</v>
      </c>
      <c r="G21" s="2">
        <v>-33.119999999999997</v>
      </c>
      <c r="H21" s="2" t="s">
        <v>3887</v>
      </c>
      <c r="I21" s="5">
        <v>15.9</v>
      </c>
      <c r="J21" s="5">
        <v>400</v>
      </c>
      <c r="K21" s="5"/>
      <c r="L21" s="5">
        <v>5</v>
      </c>
      <c r="M21" s="2" t="s">
        <v>571</v>
      </c>
      <c r="N21" s="5">
        <v>24.8</v>
      </c>
      <c r="O21" s="5">
        <v>23.16</v>
      </c>
      <c r="P21" s="5">
        <v>8.8000000000000007</v>
      </c>
      <c r="Q21" s="2" t="s">
        <v>376</v>
      </c>
      <c r="R21" s="5">
        <v>44.2</v>
      </c>
      <c r="S21" s="5">
        <v>11.05</v>
      </c>
      <c r="W21" s="6" t="s">
        <v>3435</v>
      </c>
    </row>
    <row r="22" spans="1:23" ht="15" customHeight="1" x14ac:dyDescent="0.15">
      <c r="A22" s="2" t="s">
        <v>25</v>
      </c>
      <c r="B22" s="2" t="s">
        <v>3942</v>
      </c>
      <c r="C22" s="2" t="s">
        <v>1050</v>
      </c>
      <c r="D22" s="2" t="s">
        <v>528</v>
      </c>
      <c r="E22" s="1"/>
      <c r="F22" s="2" t="s">
        <v>26</v>
      </c>
      <c r="H22" s="2" t="s">
        <v>3887</v>
      </c>
      <c r="I22" s="5"/>
      <c r="J22" s="5"/>
      <c r="K22" s="5"/>
      <c r="L22" s="5">
        <v>4.5</v>
      </c>
      <c r="M22" s="2" t="s">
        <v>571</v>
      </c>
      <c r="N22" s="5">
        <v>24.5</v>
      </c>
      <c r="O22" s="5">
        <v>24</v>
      </c>
      <c r="P22" s="5">
        <f xml:space="preserve"> (0.186*N22) + (0.394*O22) - 5.219</f>
        <v>8.7940000000000005</v>
      </c>
      <c r="Q22" s="2" t="s">
        <v>376</v>
      </c>
      <c r="R22" s="5">
        <f>P22*L22</f>
        <v>39.573</v>
      </c>
      <c r="S22" s="5"/>
      <c r="W22" s="6" t="s">
        <v>2165</v>
      </c>
    </row>
    <row r="23" spans="1:23" ht="15" customHeight="1" x14ac:dyDescent="0.15">
      <c r="A23" s="2" t="s">
        <v>25</v>
      </c>
      <c r="B23" s="2" t="s">
        <v>3942</v>
      </c>
      <c r="C23" s="2" t="s">
        <v>1050</v>
      </c>
      <c r="D23" s="2" t="s">
        <v>594</v>
      </c>
      <c r="E23" s="1"/>
      <c r="F23" s="2" t="s">
        <v>374</v>
      </c>
      <c r="G23" s="2" t="s">
        <v>374</v>
      </c>
      <c r="H23" s="2" t="str">
        <f t="shared" si="0"/>
        <v>C</v>
      </c>
      <c r="I23" s="5">
        <v>17.399999999999999</v>
      </c>
      <c r="J23" s="5">
        <f xml:space="preserve"> 0.00051342*(I23*10)^2.6584</f>
        <v>464.24678410163597</v>
      </c>
      <c r="K23" s="5"/>
      <c r="L23" s="5">
        <v>3.3</v>
      </c>
      <c r="M23" s="2" t="s">
        <v>571</v>
      </c>
      <c r="N23" s="5">
        <v>26.83</v>
      </c>
      <c r="O23" s="5"/>
      <c r="P23" s="5">
        <v>9.8699999999999992</v>
      </c>
      <c r="Q23" s="2" t="s">
        <v>18</v>
      </c>
      <c r="R23" s="5">
        <v>32.57</v>
      </c>
      <c r="S23" s="5">
        <f>(R23/J23)*100</f>
        <v>7.0156651839874806</v>
      </c>
      <c r="T23" s="2" t="s">
        <v>122</v>
      </c>
      <c r="W23" s="6" t="s">
        <v>3264</v>
      </c>
    </row>
    <row r="24" spans="1:23" x14ac:dyDescent="0.15">
      <c r="A24" s="2" t="s">
        <v>25</v>
      </c>
      <c r="B24" s="2" t="s">
        <v>3942</v>
      </c>
      <c r="C24" s="2" t="s">
        <v>1050</v>
      </c>
      <c r="D24" s="2" t="s">
        <v>594</v>
      </c>
      <c r="E24" s="1"/>
      <c r="F24" s="2" t="s">
        <v>595</v>
      </c>
      <c r="G24" s="2" t="s">
        <v>374</v>
      </c>
      <c r="H24" s="2" t="str">
        <f t="shared" si="0"/>
        <v>C</v>
      </c>
      <c r="I24" s="5">
        <v>16.7</v>
      </c>
      <c r="J24" s="5">
        <v>590</v>
      </c>
      <c r="K24" s="5"/>
      <c r="L24" s="5">
        <v>3.92</v>
      </c>
      <c r="M24" s="2" t="s">
        <v>571</v>
      </c>
      <c r="N24" s="5">
        <v>26.9</v>
      </c>
      <c r="O24" s="5">
        <v>25.5</v>
      </c>
      <c r="P24" s="5">
        <v>10.43</v>
      </c>
      <c r="Q24" s="2" t="s">
        <v>18</v>
      </c>
      <c r="R24" s="5">
        <v>40.89</v>
      </c>
      <c r="S24" s="5">
        <f>(R24/J24)*100</f>
        <v>6.9305084745762722</v>
      </c>
      <c r="W24" s="6" t="s">
        <v>2184</v>
      </c>
    </row>
    <row r="25" spans="1:23" x14ac:dyDescent="0.15">
      <c r="A25" s="2" t="s">
        <v>25</v>
      </c>
      <c r="B25" s="2" t="s">
        <v>3942</v>
      </c>
      <c r="C25" s="2" t="s">
        <v>1050</v>
      </c>
      <c r="D25" s="2" t="s">
        <v>594</v>
      </c>
      <c r="E25" s="1"/>
      <c r="F25" s="2" t="s">
        <v>374</v>
      </c>
      <c r="G25" s="2" t="s">
        <v>374</v>
      </c>
      <c r="H25" s="2" t="str">
        <f t="shared" si="0"/>
        <v>C</v>
      </c>
      <c r="I25" s="5">
        <v>17.649999999999999</v>
      </c>
      <c r="J25" s="5">
        <v>410</v>
      </c>
      <c r="K25" s="5"/>
      <c r="L25" s="5">
        <v>5</v>
      </c>
      <c r="M25" s="2" t="s">
        <v>571</v>
      </c>
      <c r="N25" s="5"/>
      <c r="O25" s="5"/>
      <c r="P25" s="5"/>
      <c r="R25" s="5"/>
      <c r="S25" s="5"/>
      <c r="W25" s="6" t="s">
        <v>2193</v>
      </c>
    </row>
    <row r="26" spans="1:23" ht="15" customHeight="1" x14ac:dyDescent="0.15">
      <c r="A26" s="2" t="s">
        <v>25</v>
      </c>
      <c r="B26" s="2" t="s">
        <v>3942</v>
      </c>
      <c r="C26" s="2" t="s">
        <v>1050</v>
      </c>
      <c r="D26" s="2" t="s">
        <v>564</v>
      </c>
      <c r="E26" s="1"/>
      <c r="F26" s="2" t="s">
        <v>565</v>
      </c>
      <c r="G26" s="2">
        <v>-2.17</v>
      </c>
      <c r="H26" s="2" t="str">
        <f t="shared" si="0"/>
        <v>W</v>
      </c>
      <c r="I26" s="5"/>
      <c r="J26" s="5"/>
      <c r="K26" s="5"/>
      <c r="L26" s="5">
        <v>4.4000000000000004</v>
      </c>
      <c r="M26" s="5" t="s">
        <v>571</v>
      </c>
      <c r="N26" s="5">
        <v>26.5</v>
      </c>
      <c r="O26" s="5">
        <v>24.65</v>
      </c>
      <c r="P26" s="5">
        <f xml:space="preserve"> 1.981*N26 - 2.672*O26 + 22.967</f>
        <v>9.5987000000000009</v>
      </c>
      <c r="Q26" s="2" t="s">
        <v>376</v>
      </c>
      <c r="R26" s="5">
        <f>P26*L26</f>
        <v>42.234280000000005</v>
      </c>
      <c r="S26" s="5"/>
      <c r="W26" s="6" t="s">
        <v>2192</v>
      </c>
    </row>
    <row r="27" spans="1:23" x14ac:dyDescent="0.15">
      <c r="A27" s="2" t="s">
        <v>25</v>
      </c>
      <c r="B27" s="2" t="s">
        <v>3942</v>
      </c>
      <c r="C27" s="2" t="s">
        <v>1050</v>
      </c>
      <c r="D27" s="2" t="s">
        <v>564</v>
      </c>
      <c r="E27" s="1"/>
      <c r="F27" s="2" t="s">
        <v>374</v>
      </c>
      <c r="G27" s="2" t="s">
        <v>374</v>
      </c>
      <c r="H27" s="2" t="str">
        <f t="shared" si="0"/>
        <v>C</v>
      </c>
      <c r="I27" s="5">
        <v>15.5</v>
      </c>
      <c r="J27" s="5">
        <f xml:space="preserve"> 0.00051342*(I27*10)^2.6584</f>
        <v>341.38982170385998</v>
      </c>
      <c r="K27" s="5"/>
      <c r="L27" s="5">
        <v>5</v>
      </c>
      <c r="M27" s="5" t="s">
        <v>571</v>
      </c>
      <c r="N27" s="5">
        <v>27</v>
      </c>
      <c r="O27" s="5">
        <v>27</v>
      </c>
      <c r="P27" s="5">
        <v>10</v>
      </c>
      <c r="Q27" s="2" t="s">
        <v>18</v>
      </c>
      <c r="R27" s="5">
        <v>50</v>
      </c>
      <c r="S27" s="5">
        <f>(R27/J27)*100</f>
        <v>14.646013683258754</v>
      </c>
      <c r="W27" s="6" t="s">
        <v>2304</v>
      </c>
    </row>
    <row r="28" spans="1:23" x14ac:dyDescent="0.15">
      <c r="A28" s="1" t="s">
        <v>25</v>
      </c>
      <c r="B28" s="2" t="s">
        <v>3942</v>
      </c>
      <c r="C28" s="2" t="s">
        <v>1050</v>
      </c>
      <c r="D28" s="1" t="s">
        <v>564</v>
      </c>
      <c r="E28" s="1"/>
      <c r="F28" s="1" t="s">
        <v>600</v>
      </c>
      <c r="G28" s="1" t="s">
        <v>374</v>
      </c>
      <c r="H28" s="2" t="str">
        <f t="shared" si="0"/>
        <v>C</v>
      </c>
      <c r="I28" s="8">
        <v>17</v>
      </c>
      <c r="J28" s="8">
        <v>436.4</v>
      </c>
      <c r="K28" s="8"/>
      <c r="L28" s="8"/>
      <c r="M28" s="5" t="s">
        <v>571</v>
      </c>
      <c r="N28" s="5">
        <v>28</v>
      </c>
      <c r="O28" s="8">
        <v>26.67</v>
      </c>
      <c r="P28" s="8">
        <v>10.496</v>
      </c>
      <c r="Q28" s="1" t="s">
        <v>376</v>
      </c>
      <c r="R28" s="8">
        <v>52.48</v>
      </c>
      <c r="S28" s="8">
        <v>12.025</v>
      </c>
      <c r="T28" s="1"/>
      <c r="U28" s="1"/>
      <c r="V28" s="1"/>
      <c r="W28" s="6" t="s">
        <v>3580</v>
      </c>
    </row>
    <row r="29" spans="1:23" x14ac:dyDescent="0.15">
      <c r="A29" s="2" t="s">
        <v>25</v>
      </c>
      <c r="B29" s="2" t="s">
        <v>3942</v>
      </c>
      <c r="C29" s="2" t="s">
        <v>1050</v>
      </c>
      <c r="D29" s="2" t="s">
        <v>564</v>
      </c>
      <c r="E29" s="1"/>
      <c r="F29" s="2" t="s">
        <v>595</v>
      </c>
      <c r="G29" s="2" t="s">
        <v>374</v>
      </c>
      <c r="H29" s="2" t="str">
        <f t="shared" si="0"/>
        <v>C</v>
      </c>
      <c r="I29" s="5">
        <v>14.85</v>
      </c>
      <c r="J29" s="5">
        <v>459.5</v>
      </c>
      <c r="K29" s="5"/>
      <c r="L29" s="5">
        <v>2.8</v>
      </c>
      <c r="M29" s="5" t="s">
        <v>571</v>
      </c>
      <c r="N29" s="5">
        <v>26.7</v>
      </c>
      <c r="O29" s="5">
        <v>24.3</v>
      </c>
      <c r="P29" s="5">
        <v>8.9600000000000009</v>
      </c>
      <c r="Q29" s="2" t="s">
        <v>18</v>
      </c>
      <c r="R29" s="5">
        <v>25.09</v>
      </c>
      <c r="S29" s="5">
        <f>(R29/J29)*100</f>
        <v>5.4602829162132753</v>
      </c>
      <c r="W29" s="6" t="s">
        <v>2184</v>
      </c>
    </row>
    <row r="30" spans="1:23" x14ac:dyDescent="0.15">
      <c r="A30" s="2" t="s">
        <v>25</v>
      </c>
      <c r="B30" s="2" t="s">
        <v>3942</v>
      </c>
      <c r="C30" s="2" t="s">
        <v>1050</v>
      </c>
      <c r="D30" s="2" t="s">
        <v>564</v>
      </c>
      <c r="E30" s="1"/>
      <c r="F30" s="2" t="s">
        <v>374</v>
      </c>
      <c r="G30" s="2" t="s">
        <v>374</v>
      </c>
      <c r="H30" s="2" t="str">
        <f t="shared" si="0"/>
        <v>C</v>
      </c>
      <c r="I30" s="5"/>
      <c r="J30" s="5"/>
      <c r="K30" s="5"/>
      <c r="L30" s="5">
        <v>2.4</v>
      </c>
      <c r="M30" s="5" t="s">
        <v>571</v>
      </c>
      <c r="N30" s="5"/>
      <c r="O30" s="5"/>
      <c r="P30" s="5">
        <v>9.4</v>
      </c>
      <c r="Q30" s="2" t="s">
        <v>18</v>
      </c>
      <c r="R30" s="5"/>
      <c r="S30" s="5"/>
      <c r="W30" s="6" t="s">
        <v>2185</v>
      </c>
    </row>
    <row r="31" spans="1:23" x14ac:dyDescent="0.15">
      <c r="A31" s="2" t="s">
        <v>25</v>
      </c>
      <c r="B31" s="2" t="s">
        <v>3944</v>
      </c>
      <c r="C31" s="2" t="s">
        <v>1052</v>
      </c>
      <c r="D31" s="2" t="s">
        <v>659</v>
      </c>
      <c r="E31" s="1"/>
      <c r="F31" s="2" t="s">
        <v>29</v>
      </c>
      <c r="G31" s="2">
        <v>-13.47</v>
      </c>
      <c r="H31" s="2" t="str">
        <f t="shared" si="0"/>
        <v>W</v>
      </c>
      <c r="I31" s="5"/>
      <c r="J31" s="5"/>
      <c r="K31" s="5"/>
      <c r="L31" s="5"/>
      <c r="M31" s="2" t="s">
        <v>571</v>
      </c>
      <c r="N31" s="5"/>
      <c r="O31" s="5"/>
      <c r="P31" s="5"/>
      <c r="R31" s="5"/>
      <c r="S31" s="5"/>
      <c r="W31" s="6" t="s">
        <v>1750</v>
      </c>
    </row>
    <row r="32" spans="1:23" x14ac:dyDescent="0.15">
      <c r="A32" s="2" t="s">
        <v>25</v>
      </c>
      <c r="B32" s="2" t="s">
        <v>3944</v>
      </c>
      <c r="C32" s="2" t="s">
        <v>1052</v>
      </c>
      <c r="D32" s="2" t="s">
        <v>660</v>
      </c>
      <c r="E32" s="1"/>
      <c r="F32" s="2" t="s">
        <v>39</v>
      </c>
      <c r="G32" s="2">
        <v>-16</v>
      </c>
      <c r="H32" s="2" t="str">
        <f t="shared" si="0"/>
        <v>W</v>
      </c>
      <c r="I32" s="5">
        <v>19.3</v>
      </c>
      <c r="J32" s="5">
        <v>732.2</v>
      </c>
      <c r="K32" s="5"/>
      <c r="L32" s="5">
        <v>10</v>
      </c>
      <c r="M32" s="2" t="s">
        <v>571</v>
      </c>
      <c r="N32" s="5">
        <v>31.4</v>
      </c>
      <c r="O32" s="5">
        <v>21.8</v>
      </c>
      <c r="P32" s="5">
        <v>8.6</v>
      </c>
      <c r="Q32" s="2" t="s">
        <v>18</v>
      </c>
      <c r="R32" s="5">
        <v>86</v>
      </c>
      <c r="S32" s="5">
        <f>(R32/J32)*100</f>
        <v>11.745424747336793</v>
      </c>
      <c r="W32" s="6" t="s">
        <v>1751</v>
      </c>
    </row>
    <row r="33" spans="1:23" x14ac:dyDescent="0.15">
      <c r="A33" s="2" t="s">
        <v>25</v>
      </c>
      <c r="B33" s="2" t="s">
        <v>3944</v>
      </c>
      <c r="C33" s="2" t="s">
        <v>1052</v>
      </c>
      <c r="D33" s="2" t="s">
        <v>446</v>
      </c>
      <c r="E33" s="1"/>
      <c r="F33" s="2" t="s">
        <v>59</v>
      </c>
      <c r="G33" s="2" t="s">
        <v>374</v>
      </c>
      <c r="H33" s="2" t="str">
        <f t="shared" si="0"/>
        <v>C</v>
      </c>
      <c r="I33" s="5">
        <v>36.200000000000003</v>
      </c>
      <c r="J33" s="5">
        <f>(0.096*(I33^3.02))</f>
        <v>4892.953810632629</v>
      </c>
      <c r="K33" s="5"/>
      <c r="L33" s="5">
        <v>28</v>
      </c>
      <c r="M33" s="2" t="s">
        <v>571</v>
      </c>
      <c r="N33" s="5">
        <v>37</v>
      </c>
      <c r="O33" s="5">
        <v>28</v>
      </c>
      <c r="P33" s="5">
        <v>16.100000000000001</v>
      </c>
      <c r="Q33" s="2" t="s">
        <v>18</v>
      </c>
      <c r="R33" s="5">
        <v>450.8</v>
      </c>
      <c r="S33" s="5">
        <v>9.2100000000000009</v>
      </c>
      <c r="W33" s="6" t="s">
        <v>3382</v>
      </c>
    </row>
    <row r="34" spans="1:23" x14ac:dyDescent="0.15">
      <c r="A34" s="2" t="s">
        <v>25</v>
      </c>
      <c r="B34" s="2" t="s">
        <v>3944</v>
      </c>
      <c r="C34" s="2" t="s">
        <v>1052</v>
      </c>
      <c r="D34" s="2" t="s">
        <v>446</v>
      </c>
      <c r="E34" s="1"/>
      <c r="F34" s="2" t="s">
        <v>33</v>
      </c>
      <c r="G34" s="2">
        <v>-27</v>
      </c>
      <c r="H34" s="2" t="str">
        <f t="shared" ref="H34:H59" si="1">IF(G34="captive","C","W")</f>
        <v>W</v>
      </c>
      <c r="I34" s="5"/>
      <c r="J34" s="5"/>
      <c r="K34" s="5"/>
      <c r="L34" s="5">
        <v>15.5</v>
      </c>
      <c r="M34" s="2" t="s">
        <v>571</v>
      </c>
      <c r="N34" s="5"/>
      <c r="O34" s="5"/>
      <c r="P34" s="5">
        <v>17.399999999999999</v>
      </c>
      <c r="Q34" s="2" t="s">
        <v>18</v>
      </c>
      <c r="R34" s="5">
        <v>262</v>
      </c>
      <c r="S34" s="5"/>
      <c r="W34" s="6" t="s">
        <v>1752</v>
      </c>
    </row>
    <row r="35" spans="1:23" x14ac:dyDescent="0.15">
      <c r="A35" s="2" t="s">
        <v>25</v>
      </c>
      <c r="B35" s="2" t="s">
        <v>3944</v>
      </c>
      <c r="C35" s="2" t="s">
        <v>1052</v>
      </c>
      <c r="D35" s="2" t="s">
        <v>446</v>
      </c>
      <c r="E35" s="1"/>
      <c r="F35" s="2" t="s">
        <v>59</v>
      </c>
      <c r="G35" s="2">
        <v>-27</v>
      </c>
      <c r="H35" s="2" t="str">
        <f t="shared" si="1"/>
        <v>W</v>
      </c>
      <c r="I35" s="5"/>
      <c r="J35" s="5"/>
      <c r="K35" s="5"/>
      <c r="L35" s="5">
        <v>15</v>
      </c>
      <c r="M35" s="2" t="s">
        <v>571</v>
      </c>
      <c r="N35" s="5">
        <v>38.5</v>
      </c>
      <c r="O35" s="5">
        <v>27</v>
      </c>
      <c r="P35" s="5">
        <v>16.510000000000002</v>
      </c>
      <c r="Q35" s="2" t="s">
        <v>18</v>
      </c>
      <c r="R35" s="5">
        <f>P35*L35</f>
        <v>247.65000000000003</v>
      </c>
      <c r="S35" s="5"/>
      <c r="W35" s="6" t="s">
        <v>1753</v>
      </c>
    </row>
    <row r="36" spans="1:23" x14ac:dyDescent="0.15">
      <c r="A36" s="2" t="s">
        <v>25</v>
      </c>
      <c r="B36" s="2" t="s">
        <v>3944</v>
      </c>
      <c r="C36" s="2" t="s">
        <v>1052</v>
      </c>
      <c r="D36" s="2" t="s">
        <v>446</v>
      </c>
      <c r="E36" s="1"/>
      <c r="F36" s="2" t="s">
        <v>840</v>
      </c>
      <c r="G36" s="2">
        <v>-33.869999999999997</v>
      </c>
      <c r="H36" s="2" t="str">
        <f t="shared" si="1"/>
        <v>W</v>
      </c>
      <c r="I36" s="5">
        <v>39</v>
      </c>
      <c r="J36" s="5">
        <f>(0.096*(I36^3.02))</f>
        <v>6127.5426989889065</v>
      </c>
      <c r="K36" s="5"/>
      <c r="L36" s="5">
        <v>16</v>
      </c>
      <c r="M36" s="5" t="s">
        <v>571</v>
      </c>
      <c r="N36" s="5">
        <v>43.5</v>
      </c>
      <c r="O36" s="5">
        <v>32</v>
      </c>
      <c r="P36" s="5">
        <v>25.5</v>
      </c>
      <c r="Q36" s="2" t="s">
        <v>18</v>
      </c>
      <c r="R36" s="5">
        <v>408</v>
      </c>
      <c r="S36" s="5">
        <f>(R36/J36)*100</f>
        <v>6.6584603330030374</v>
      </c>
      <c r="W36" s="6" t="s">
        <v>2152</v>
      </c>
    </row>
    <row r="37" spans="1:23" x14ac:dyDescent="0.15">
      <c r="A37" s="2" t="s">
        <v>25</v>
      </c>
      <c r="B37" s="2" t="s">
        <v>3944</v>
      </c>
      <c r="C37" s="2" t="s">
        <v>1052</v>
      </c>
      <c r="D37" s="2" t="s">
        <v>446</v>
      </c>
      <c r="E37" s="1"/>
      <c r="F37" s="2" t="s">
        <v>35</v>
      </c>
      <c r="G37" s="2">
        <v>-35.81</v>
      </c>
      <c r="H37" s="2" t="str">
        <f t="shared" si="1"/>
        <v>W</v>
      </c>
      <c r="I37" s="5">
        <v>34.875</v>
      </c>
      <c r="J37" s="5">
        <f>(0.096*(I37^3.02))</f>
        <v>4371.8390627199606</v>
      </c>
      <c r="K37" s="5">
        <f>MEDIAN(9,12)</f>
        <v>10.5</v>
      </c>
      <c r="L37" s="5"/>
      <c r="M37" s="5" t="s">
        <v>571</v>
      </c>
      <c r="N37" s="5"/>
      <c r="O37" s="5"/>
      <c r="P37" s="5"/>
      <c r="R37" s="5"/>
      <c r="S37" s="5"/>
      <c r="W37" s="6" t="s">
        <v>2190</v>
      </c>
    </row>
    <row r="38" spans="1:23" x14ac:dyDescent="0.15">
      <c r="A38" s="2" t="s">
        <v>25</v>
      </c>
      <c r="B38" s="2" t="s">
        <v>3944</v>
      </c>
      <c r="C38" s="2" t="s">
        <v>1052</v>
      </c>
      <c r="D38" s="2" t="s">
        <v>446</v>
      </c>
      <c r="E38" s="1"/>
      <c r="F38" s="2" t="s">
        <v>448</v>
      </c>
      <c r="G38" s="2">
        <v>-27.469799999999999</v>
      </c>
      <c r="H38" s="2" t="str">
        <f t="shared" si="1"/>
        <v>W</v>
      </c>
      <c r="I38" s="5">
        <v>30.9</v>
      </c>
      <c r="J38" s="5">
        <f>(0.096*(I38^3.02))</f>
        <v>3033.5128635613332</v>
      </c>
      <c r="K38" s="5"/>
      <c r="L38" s="5">
        <v>12.4</v>
      </c>
      <c r="M38" s="5" t="s">
        <v>571</v>
      </c>
      <c r="N38" s="5">
        <v>38.299999999999997</v>
      </c>
      <c r="O38" s="5">
        <v>26.8</v>
      </c>
      <c r="P38" s="5">
        <v>16.5</v>
      </c>
      <c r="Q38" s="2" t="s">
        <v>18</v>
      </c>
      <c r="R38" s="5">
        <v>204.6</v>
      </c>
      <c r="S38" s="5">
        <f>(R38/J38)*100</f>
        <v>6.7446557572793786</v>
      </c>
      <c r="W38" s="6" t="s">
        <v>2306</v>
      </c>
    </row>
    <row r="39" spans="1:23" x14ac:dyDescent="0.15">
      <c r="A39" s="2" t="s">
        <v>25</v>
      </c>
      <c r="B39" s="2" t="s">
        <v>3944</v>
      </c>
      <c r="C39" s="2" t="s">
        <v>1052</v>
      </c>
      <c r="D39" s="2" t="s">
        <v>446</v>
      </c>
      <c r="E39" s="1"/>
      <c r="F39" s="2" t="s">
        <v>34</v>
      </c>
      <c r="G39" s="2">
        <v>-36</v>
      </c>
      <c r="H39" s="2" t="str">
        <f t="shared" si="1"/>
        <v>W</v>
      </c>
      <c r="I39" s="5"/>
      <c r="J39" s="5"/>
      <c r="K39" s="5"/>
      <c r="L39" s="5">
        <v>15.4</v>
      </c>
      <c r="M39" s="2" t="s">
        <v>571</v>
      </c>
      <c r="N39" s="5"/>
      <c r="O39" s="5"/>
      <c r="P39" s="5"/>
      <c r="R39" s="5"/>
      <c r="S39" s="5"/>
      <c r="W39" s="6" t="s">
        <v>3457</v>
      </c>
    </row>
    <row r="40" spans="1:23" x14ac:dyDescent="0.15">
      <c r="A40" s="2" t="s">
        <v>25</v>
      </c>
      <c r="B40" s="2" t="s">
        <v>3944</v>
      </c>
      <c r="C40" s="2" t="s">
        <v>1052</v>
      </c>
      <c r="D40" s="2" t="s">
        <v>446</v>
      </c>
      <c r="E40" s="1"/>
      <c r="F40" s="2" t="s">
        <v>374</v>
      </c>
      <c r="G40" s="2" t="s">
        <v>374</v>
      </c>
      <c r="H40" s="2" t="str">
        <f t="shared" si="1"/>
        <v>C</v>
      </c>
      <c r="I40" s="5">
        <v>40</v>
      </c>
      <c r="J40" s="5">
        <f>(0.096*(I40^3.02))</f>
        <v>6614.4297279739112</v>
      </c>
      <c r="K40" s="5"/>
      <c r="L40" s="5">
        <v>20</v>
      </c>
      <c r="M40" s="5" t="s">
        <v>571</v>
      </c>
      <c r="N40" s="5"/>
      <c r="O40" s="5"/>
      <c r="P40" s="5">
        <v>24</v>
      </c>
      <c r="Q40" s="2" t="s">
        <v>18</v>
      </c>
      <c r="R40" s="5">
        <v>480</v>
      </c>
      <c r="S40" s="5">
        <v>7.26</v>
      </c>
      <c r="T40" s="2">
        <v>2</v>
      </c>
      <c r="U40" s="2" t="str">
        <f>IF(T40&lt;=1, "1",IF(AND(T40&gt;1,T40&lt;4), "2-3", "+4"))</f>
        <v>2-3</v>
      </c>
      <c r="V40" s="2">
        <f>S40*T40</f>
        <v>14.52</v>
      </c>
      <c r="W40" s="6" t="s">
        <v>2318</v>
      </c>
    </row>
    <row r="41" spans="1:23" x14ac:dyDescent="0.15">
      <c r="A41" s="2" t="s">
        <v>25</v>
      </c>
      <c r="B41" s="2" t="s">
        <v>3944</v>
      </c>
      <c r="C41" s="2" t="s">
        <v>1052</v>
      </c>
      <c r="D41" s="2" t="s">
        <v>446</v>
      </c>
      <c r="E41" s="1"/>
      <c r="F41" s="2" t="s">
        <v>59</v>
      </c>
      <c r="H41" s="2" t="s">
        <v>3887</v>
      </c>
      <c r="I41" s="5"/>
      <c r="J41" s="5"/>
      <c r="K41" s="5"/>
      <c r="L41" s="5"/>
      <c r="M41" s="5" t="s">
        <v>571</v>
      </c>
      <c r="N41" s="5">
        <v>39.200000000000003</v>
      </c>
      <c r="O41" s="5">
        <v>27.6</v>
      </c>
      <c r="P41" s="5">
        <v>17.100000000000001</v>
      </c>
      <c r="Q41" s="2" t="s">
        <v>18</v>
      </c>
      <c r="R41" s="5"/>
      <c r="S41" s="5"/>
      <c r="W41" s="6" t="s">
        <v>2309</v>
      </c>
    </row>
    <row r="42" spans="1:23" x14ac:dyDescent="0.15">
      <c r="A42" s="2" t="s">
        <v>25</v>
      </c>
      <c r="B42" s="2" t="s">
        <v>3944</v>
      </c>
      <c r="C42" s="2" t="s">
        <v>1052</v>
      </c>
      <c r="D42" s="2" t="s">
        <v>446</v>
      </c>
      <c r="E42" s="1"/>
      <c r="F42" s="2" t="s">
        <v>59</v>
      </c>
      <c r="H42" s="2" t="s">
        <v>3887</v>
      </c>
      <c r="I42" s="5"/>
      <c r="J42" s="5"/>
      <c r="K42" s="5"/>
      <c r="L42" s="5">
        <v>16.670000000000002</v>
      </c>
      <c r="M42" s="5" t="s">
        <v>571</v>
      </c>
      <c r="N42" s="5">
        <v>40.07</v>
      </c>
      <c r="O42" s="5">
        <v>28.3</v>
      </c>
      <c r="P42" s="5">
        <v>17.920000000000002</v>
      </c>
      <c r="Q42" s="2" t="s">
        <v>18</v>
      </c>
      <c r="R42" s="5">
        <v>298.73</v>
      </c>
      <c r="S42" s="5"/>
      <c r="W42" s="6" t="s">
        <v>508</v>
      </c>
    </row>
    <row r="43" spans="1:23" x14ac:dyDescent="0.15">
      <c r="A43" s="2" t="s">
        <v>25</v>
      </c>
      <c r="B43" s="2" t="s">
        <v>3944</v>
      </c>
      <c r="C43" s="2" t="s">
        <v>1052</v>
      </c>
      <c r="D43" s="2" t="s">
        <v>446</v>
      </c>
      <c r="E43" s="1"/>
      <c r="F43" s="2" t="s">
        <v>374</v>
      </c>
      <c r="G43" s="2" t="s">
        <v>374</v>
      </c>
      <c r="H43" s="2" t="str">
        <f t="shared" si="1"/>
        <v>C</v>
      </c>
      <c r="I43" s="5">
        <v>31.5</v>
      </c>
      <c r="J43" s="5">
        <v>4530</v>
      </c>
      <c r="K43" s="5"/>
      <c r="L43" s="5">
        <v>16.329999999999998</v>
      </c>
      <c r="M43" s="5" t="s">
        <v>571</v>
      </c>
      <c r="N43" s="5">
        <v>35</v>
      </c>
      <c r="O43" s="5">
        <v>30</v>
      </c>
      <c r="P43" s="5">
        <v>20</v>
      </c>
      <c r="Q43" s="2" t="s">
        <v>18</v>
      </c>
      <c r="R43" s="5">
        <v>326.66000000000003</v>
      </c>
      <c r="S43" s="5">
        <v>7.21</v>
      </c>
      <c r="W43" s="6" t="s">
        <v>2187</v>
      </c>
    </row>
    <row r="44" spans="1:23" x14ac:dyDescent="0.15">
      <c r="A44" s="2" t="s">
        <v>25</v>
      </c>
      <c r="B44" s="2" t="s">
        <v>3944</v>
      </c>
      <c r="C44" s="2" t="s">
        <v>1052</v>
      </c>
      <c r="D44" s="2" t="s">
        <v>446</v>
      </c>
      <c r="E44" s="1"/>
      <c r="F44" s="2" t="s">
        <v>35</v>
      </c>
      <c r="G44" s="2">
        <v>-36.1</v>
      </c>
      <c r="H44" s="2" t="str">
        <f t="shared" si="1"/>
        <v>W</v>
      </c>
      <c r="I44" s="5"/>
      <c r="J44" s="5"/>
      <c r="K44" s="5">
        <f>MEDIAN(14,15)</f>
        <v>14.5</v>
      </c>
      <c r="L44" s="5"/>
      <c r="M44" s="5" t="s">
        <v>571</v>
      </c>
      <c r="N44" s="5"/>
      <c r="O44" s="5"/>
      <c r="P44" s="5"/>
      <c r="R44" s="5"/>
      <c r="S44" s="5"/>
      <c r="W44" s="6" t="s">
        <v>2308</v>
      </c>
    </row>
    <row r="45" spans="1:23" x14ac:dyDescent="0.15">
      <c r="A45" s="2" t="s">
        <v>25</v>
      </c>
      <c r="B45" s="2" t="s">
        <v>3944</v>
      </c>
      <c r="C45" s="2" t="s">
        <v>1052</v>
      </c>
      <c r="D45" s="2" t="s">
        <v>446</v>
      </c>
      <c r="E45" s="1"/>
      <c r="F45" s="2" t="s">
        <v>447</v>
      </c>
      <c r="G45" s="2">
        <v>-27.498000000000001</v>
      </c>
      <c r="H45" s="2" t="str">
        <f t="shared" si="1"/>
        <v>W</v>
      </c>
      <c r="I45" s="5"/>
      <c r="J45" s="5"/>
      <c r="K45" s="5"/>
      <c r="L45" s="5"/>
      <c r="M45" s="5" t="s">
        <v>571</v>
      </c>
      <c r="N45" s="5">
        <v>39</v>
      </c>
      <c r="O45" s="5">
        <v>29</v>
      </c>
      <c r="P45" s="5">
        <f xml:space="preserve"> (0.543*N45) + (0.891*O45) - 28.409</f>
        <v>18.607000000000006</v>
      </c>
      <c r="Q45" s="2" t="s">
        <v>376</v>
      </c>
      <c r="R45" s="5"/>
      <c r="S45" s="5"/>
      <c r="W45" s="6" t="s">
        <v>2307</v>
      </c>
    </row>
    <row r="46" spans="1:23" x14ac:dyDescent="0.15">
      <c r="A46" s="2" t="s">
        <v>25</v>
      </c>
      <c r="B46" s="2" t="s">
        <v>3944</v>
      </c>
      <c r="C46" s="2" t="s">
        <v>1052</v>
      </c>
      <c r="D46" s="2" t="s">
        <v>661</v>
      </c>
      <c r="E46" s="1"/>
      <c r="F46" s="2" t="s">
        <v>29</v>
      </c>
      <c r="H46" s="2" t="s">
        <v>3887</v>
      </c>
      <c r="I46" s="5"/>
      <c r="J46" s="5"/>
      <c r="K46" s="5"/>
      <c r="L46" s="5"/>
      <c r="M46" s="2" t="s">
        <v>571</v>
      </c>
      <c r="N46" s="5"/>
      <c r="O46" s="5"/>
      <c r="P46" s="5"/>
      <c r="R46" s="5"/>
      <c r="S46" s="5"/>
      <c r="W46" s="6" t="s">
        <v>838</v>
      </c>
    </row>
    <row r="47" spans="1:23" x14ac:dyDescent="0.15">
      <c r="A47" s="2" t="s">
        <v>25</v>
      </c>
      <c r="B47" s="2" t="s">
        <v>3944</v>
      </c>
      <c r="C47" s="2" t="s">
        <v>1052</v>
      </c>
      <c r="D47" s="2" t="s">
        <v>662</v>
      </c>
      <c r="E47" s="1"/>
      <c r="F47" s="2" t="s">
        <v>29</v>
      </c>
      <c r="H47" s="2" t="s">
        <v>3887</v>
      </c>
      <c r="I47" s="5"/>
      <c r="J47" s="5"/>
      <c r="K47" s="5"/>
      <c r="L47" s="5"/>
      <c r="M47" s="2" t="s">
        <v>571</v>
      </c>
      <c r="N47" s="5"/>
      <c r="O47" s="5"/>
      <c r="P47" s="5"/>
      <c r="R47" s="5"/>
      <c r="S47" s="5"/>
      <c r="W47" s="6" t="s">
        <v>838</v>
      </c>
    </row>
    <row r="48" spans="1:23" ht="15" customHeight="1" x14ac:dyDescent="0.15">
      <c r="A48" s="2" t="s">
        <v>25</v>
      </c>
      <c r="B48" s="2" t="s">
        <v>3944</v>
      </c>
      <c r="C48" s="2" t="s">
        <v>1052</v>
      </c>
      <c r="D48" s="2" t="s">
        <v>4015</v>
      </c>
      <c r="E48" s="1"/>
      <c r="F48" s="2" t="s">
        <v>29</v>
      </c>
      <c r="H48" s="2" t="s">
        <v>3887</v>
      </c>
      <c r="I48" s="5"/>
      <c r="J48" s="5"/>
      <c r="K48" s="5"/>
      <c r="L48" s="5"/>
      <c r="M48" s="2" t="s">
        <v>571</v>
      </c>
      <c r="N48" s="5"/>
      <c r="O48" s="5"/>
      <c r="P48" s="5"/>
      <c r="R48" s="5"/>
      <c r="S48" s="5"/>
      <c r="W48" s="6" t="s">
        <v>838</v>
      </c>
    </row>
    <row r="49" spans="1:23" ht="15" customHeight="1" x14ac:dyDescent="0.15">
      <c r="A49" s="2" t="s">
        <v>25</v>
      </c>
      <c r="B49" s="2" t="s">
        <v>3944</v>
      </c>
      <c r="C49" s="2" t="s">
        <v>1052</v>
      </c>
      <c r="D49" s="2" t="s">
        <v>396</v>
      </c>
      <c r="E49" s="1"/>
      <c r="F49" s="2" t="s">
        <v>59</v>
      </c>
      <c r="G49" s="2">
        <v>-37.39</v>
      </c>
      <c r="H49" s="2" t="str">
        <f t="shared" si="1"/>
        <v>W</v>
      </c>
      <c r="I49" s="5"/>
      <c r="J49" s="5"/>
      <c r="K49" s="5"/>
      <c r="L49" s="5">
        <v>12</v>
      </c>
      <c r="M49" s="2" t="s">
        <v>571</v>
      </c>
      <c r="N49" s="5">
        <v>31.88</v>
      </c>
      <c r="O49" s="5">
        <v>19</v>
      </c>
      <c r="P49" s="5">
        <f xml:space="preserve"> 0.249*N49 + 0.698*O49 - 14.434</f>
        <v>6.766119999999999</v>
      </c>
      <c r="Q49" s="2" t="s">
        <v>376</v>
      </c>
      <c r="R49" s="5">
        <v>81.19</v>
      </c>
      <c r="S49" s="5"/>
      <c r="W49" s="6" t="s">
        <v>3160</v>
      </c>
    </row>
    <row r="50" spans="1:23" x14ac:dyDescent="0.15">
      <c r="A50" s="2" t="s">
        <v>25</v>
      </c>
      <c r="B50" s="2" t="s">
        <v>3944</v>
      </c>
      <c r="C50" s="2" t="s">
        <v>1052</v>
      </c>
      <c r="D50" s="2" t="s">
        <v>396</v>
      </c>
      <c r="E50" s="1"/>
      <c r="F50" s="2" t="s">
        <v>59</v>
      </c>
      <c r="G50" s="2" t="s">
        <v>374</v>
      </c>
      <c r="H50" s="2" t="str">
        <f t="shared" si="1"/>
        <v>C</v>
      </c>
      <c r="I50" s="5"/>
      <c r="J50" s="5"/>
      <c r="K50" s="5"/>
      <c r="L50" s="5">
        <v>11</v>
      </c>
      <c r="M50" s="2" t="s">
        <v>571</v>
      </c>
      <c r="N50" s="5">
        <v>31</v>
      </c>
      <c r="O50" s="5">
        <v>21</v>
      </c>
      <c r="P50" s="5">
        <v>6.8</v>
      </c>
      <c r="Q50" s="2" t="s">
        <v>18</v>
      </c>
      <c r="R50" s="5">
        <v>74.8</v>
      </c>
      <c r="S50" s="5"/>
      <c r="W50" s="6" t="s">
        <v>3382</v>
      </c>
    </row>
    <row r="51" spans="1:23" x14ac:dyDescent="0.15">
      <c r="A51" s="2" t="s">
        <v>25</v>
      </c>
      <c r="B51" s="2" t="s">
        <v>3944</v>
      </c>
      <c r="C51" s="2" t="s">
        <v>1052</v>
      </c>
      <c r="D51" s="2" t="s">
        <v>396</v>
      </c>
      <c r="E51" s="1"/>
      <c r="F51" s="2" t="s">
        <v>35</v>
      </c>
      <c r="G51" s="2">
        <v>-35.81</v>
      </c>
      <c r="H51" s="2" t="str">
        <f t="shared" si="1"/>
        <v>W</v>
      </c>
      <c r="I51" s="5">
        <v>23.32</v>
      </c>
      <c r="J51" s="5">
        <f>(0.2*I51^2.78)</f>
        <v>1268.5726788199331</v>
      </c>
      <c r="K51" s="5">
        <f>MEDIAN(8,12)</f>
        <v>10</v>
      </c>
      <c r="L51" s="5">
        <v>12.67</v>
      </c>
      <c r="M51" s="5" t="s">
        <v>571</v>
      </c>
      <c r="N51" s="5">
        <f>MEDIAN(31.8,32.7)</f>
        <v>32.25</v>
      </c>
      <c r="O51" s="5"/>
      <c r="P51" s="5"/>
      <c r="R51" s="5"/>
      <c r="S51" s="5"/>
      <c r="T51" s="2">
        <v>2</v>
      </c>
      <c r="U51" s="2" t="str">
        <f>IF(T51&lt;=1, "1",IF(AND(T51&gt;1,T51&lt;4), "2-3", "+4"))</f>
        <v>2-3</v>
      </c>
      <c r="W51" s="6" t="s">
        <v>2190</v>
      </c>
    </row>
    <row r="52" spans="1:23" x14ac:dyDescent="0.15">
      <c r="A52" s="2" t="s">
        <v>25</v>
      </c>
      <c r="B52" s="2" t="s">
        <v>3944</v>
      </c>
      <c r="C52" s="2" t="s">
        <v>1052</v>
      </c>
      <c r="D52" s="2" t="s">
        <v>396</v>
      </c>
      <c r="E52" s="1"/>
      <c r="F52" s="2" t="s">
        <v>841</v>
      </c>
      <c r="G52" s="2">
        <v>-38.15</v>
      </c>
      <c r="H52" s="2" t="str">
        <f t="shared" si="1"/>
        <v>W</v>
      </c>
      <c r="I52" s="5"/>
      <c r="J52" s="5"/>
      <c r="K52" s="5">
        <v>16</v>
      </c>
      <c r="L52" s="5"/>
      <c r="M52" s="5" t="s">
        <v>571</v>
      </c>
      <c r="N52" s="5"/>
      <c r="O52" s="5"/>
      <c r="P52" s="5"/>
      <c r="R52" s="5"/>
      <c r="S52" s="5"/>
      <c r="W52" s="6" t="s">
        <v>2195</v>
      </c>
    </row>
    <row r="53" spans="1:23" x14ac:dyDescent="0.15">
      <c r="A53" s="2" t="s">
        <v>25</v>
      </c>
      <c r="B53" s="2" t="s">
        <v>3944</v>
      </c>
      <c r="C53" s="2" t="s">
        <v>1052</v>
      </c>
      <c r="D53" s="2" t="s">
        <v>396</v>
      </c>
      <c r="E53" s="1"/>
      <c r="F53" s="2" t="s">
        <v>374</v>
      </c>
      <c r="G53" s="2" t="s">
        <v>374</v>
      </c>
      <c r="H53" s="2" t="str">
        <f t="shared" si="1"/>
        <v>C</v>
      </c>
      <c r="I53" s="5">
        <v>19.5</v>
      </c>
      <c r="J53" s="5">
        <v>722</v>
      </c>
      <c r="K53" s="5"/>
      <c r="L53" s="5">
        <v>8</v>
      </c>
      <c r="M53" s="5" t="s">
        <v>571</v>
      </c>
      <c r="N53" s="5">
        <v>29.6</v>
      </c>
      <c r="O53" s="5">
        <v>18.5</v>
      </c>
      <c r="P53" s="5">
        <v>6</v>
      </c>
      <c r="Q53" s="2" t="s">
        <v>18</v>
      </c>
      <c r="R53" s="5">
        <v>41.9</v>
      </c>
      <c r="S53" s="5">
        <v>5.8</v>
      </c>
      <c r="W53" s="6" t="s">
        <v>2189</v>
      </c>
    </row>
    <row r="54" spans="1:23" x14ac:dyDescent="0.15">
      <c r="A54" s="2" t="s">
        <v>25</v>
      </c>
      <c r="B54" s="2" t="s">
        <v>3944</v>
      </c>
      <c r="C54" s="2" t="s">
        <v>1052</v>
      </c>
      <c r="D54" s="2" t="s">
        <v>396</v>
      </c>
      <c r="E54" s="1"/>
      <c r="F54" s="2" t="s">
        <v>374</v>
      </c>
      <c r="G54" s="2" t="s">
        <v>374</v>
      </c>
      <c r="H54" s="2" t="str">
        <f t="shared" si="1"/>
        <v>C</v>
      </c>
      <c r="I54" s="5">
        <f>EXP((LN(J54/0.2))/2.78)</f>
        <v>20.045633521840848</v>
      </c>
      <c r="J54" s="5">
        <v>833</v>
      </c>
      <c r="K54" s="5"/>
      <c r="L54" s="5">
        <v>15</v>
      </c>
      <c r="M54" s="5" t="s">
        <v>571</v>
      </c>
      <c r="N54" s="5">
        <v>30</v>
      </c>
      <c r="O54" s="5">
        <v>19</v>
      </c>
      <c r="P54" s="5">
        <v>6.5</v>
      </c>
      <c r="Q54" s="2" t="s">
        <v>18</v>
      </c>
      <c r="R54" s="5">
        <v>97.5</v>
      </c>
      <c r="S54" s="5">
        <v>11.7</v>
      </c>
      <c r="T54" s="9"/>
      <c r="U54" s="9"/>
      <c r="W54" s="6" t="s">
        <v>2311</v>
      </c>
    </row>
    <row r="55" spans="1:23" x14ac:dyDescent="0.15">
      <c r="A55" s="2" t="s">
        <v>25</v>
      </c>
      <c r="B55" s="2" t="s">
        <v>3944</v>
      </c>
      <c r="C55" s="2" t="s">
        <v>1052</v>
      </c>
      <c r="D55" s="2" t="s">
        <v>396</v>
      </c>
      <c r="E55" s="1"/>
      <c r="F55" s="2" t="s">
        <v>34</v>
      </c>
      <c r="G55" s="2">
        <v>-36</v>
      </c>
      <c r="H55" s="2" t="str">
        <f t="shared" si="1"/>
        <v>W</v>
      </c>
      <c r="I55" s="5"/>
      <c r="J55" s="5"/>
      <c r="K55" s="5"/>
      <c r="L55" s="5">
        <v>10</v>
      </c>
      <c r="M55" s="5" t="s">
        <v>571</v>
      </c>
      <c r="N55" s="5"/>
      <c r="O55" s="5"/>
      <c r="P55" s="5"/>
      <c r="R55" s="5"/>
      <c r="S55" s="5"/>
      <c r="W55" s="6" t="s">
        <v>1882</v>
      </c>
    </row>
    <row r="56" spans="1:23" x14ac:dyDescent="0.15">
      <c r="A56" s="2" t="s">
        <v>25</v>
      </c>
      <c r="B56" s="2" t="s">
        <v>3944</v>
      </c>
      <c r="C56" s="2" t="s">
        <v>1052</v>
      </c>
      <c r="D56" s="2" t="s">
        <v>396</v>
      </c>
      <c r="E56" s="1"/>
      <c r="F56" s="2" t="s">
        <v>36</v>
      </c>
      <c r="G56" s="2">
        <v>-35</v>
      </c>
      <c r="H56" s="2" t="str">
        <f t="shared" si="1"/>
        <v>W</v>
      </c>
      <c r="I56" s="5">
        <f>((228.7+217.3+218+162.5+224.8+237.9+207+209.1+195.3+175.9+183.7+167.1+223.4+204.2+229.1+229.5+207.3+227.3+210.2+181.9+211.4)/22)/10</f>
        <v>19.779999999999998</v>
      </c>
      <c r="J56" s="5">
        <f>(0.2*I56^2.78)</f>
        <v>802.67377561677017</v>
      </c>
      <c r="K56" s="5"/>
      <c r="L56" s="5">
        <f>74/10</f>
        <v>7.4</v>
      </c>
      <c r="M56" s="2" t="s">
        <v>571</v>
      </c>
      <c r="N56" s="5">
        <f>(P56+14.434-(0.698*O56))/0.249</f>
        <v>30.409638554216873</v>
      </c>
      <c r="O56" s="5">
        <v>19</v>
      </c>
      <c r="P56" s="5">
        <v>6.4</v>
      </c>
      <c r="Q56" s="2" t="s">
        <v>18</v>
      </c>
      <c r="R56" s="5">
        <f>P56*L56</f>
        <v>47.360000000000007</v>
      </c>
      <c r="S56" s="5">
        <f>(R56/J56)*100</f>
        <v>5.9002799691081025</v>
      </c>
      <c r="W56" s="6" t="s">
        <v>864</v>
      </c>
    </row>
    <row r="57" spans="1:23" x14ac:dyDescent="0.15">
      <c r="A57" s="2" t="s">
        <v>25</v>
      </c>
      <c r="B57" s="2" t="s">
        <v>3944</v>
      </c>
      <c r="C57" s="2" t="s">
        <v>1052</v>
      </c>
      <c r="D57" s="2" t="s">
        <v>396</v>
      </c>
      <c r="E57" s="1"/>
      <c r="F57" s="2" t="s">
        <v>59</v>
      </c>
      <c r="H57" s="2" t="s">
        <v>3887</v>
      </c>
      <c r="I57" s="5"/>
      <c r="J57" s="5"/>
      <c r="K57" s="5"/>
      <c r="L57" s="5"/>
      <c r="M57" s="5" t="s">
        <v>571</v>
      </c>
      <c r="N57" s="5">
        <v>30.9</v>
      </c>
      <c r="O57" s="5">
        <v>20</v>
      </c>
      <c r="P57" s="5">
        <v>6.7</v>
      </c>
      <c r="Q57" s="2" t="s">
        <v>18</v>
      </c>
      <c r="R57" s="5"/>
      <c r="S57" s="5"/>
      <c r="W57" s="6" t="s">
        <v>2309</v>
      </c>
    </row>
    <row r="58" spans="1:23" x14ac:dyDescent="0.15">
      <c r="A58" s="2" t="s">
        <v>25</v>
      </c>
      <c r="B58" s="2" t="s">
        <v>3944</v>
      </c>
      <c r="C58" s="2" t="s">
        <v>1052</v>
      </c>
      <c r="D58" s="2" t="s">
        <v>396</v>
      </c>
      <c r="E58" s="1"/>
      <c r="F58" s="2" t="s">
        <v>451</v>
      </c>
      <c r="G58" s="2">
        <f>-23</f>
        <v>-23</v>
      </c>
      <c r="H58" s="2" t="str">
        <f t="shared" si="1"/>
        <v>W</v>
      </c>
      <c r="I58" s="5"/>
      <c r="J58" s="5"/>
      <c r="K58" s="5"/>
      <c r="L58" s="5">
        <v>12</v>
      </c>
      <c r="M58" s="5" t="s">
        <v>571</v>
      </c>
      <c r="N58" s="5">
        <v>30.81</v>
      </c>
      <c r="O58" s="5">
        <v>20.399999999999999</v>
      </c>
      <c r="P58" s="5">
        <v>7.51</v>
      </c>
      <c r="Q58" s="2" t="s">
        <v>18</v>
      </c>
      <c r="R58" s="5">
        <v>90.12</v>
      </c>
      <c r="S58" s="5"/>
      <c r="W58" s="6" t="s">
        <v>2850</v>
      </c>
    </row>
    <row r="59" spans="1:23" x14ac:dyDescent="0.15">
      <c r="A59" s="2" t="s">
        <v>25</v>
      </c>
      <c r="B59" s="2" t="s">
        <v>3944</v>
      </c>
      <c r="C59" s="2" t="s">
        <v>1052</v>
      </c>
      <c r="D59" s="2" t="s">
        <v>396</v>
      </c>
      <c r="E59" s="1"/>
      <c r="F59" s="2" t="s">
        <v>374</v>
      </c>
      <c r="G59" s="2" t="s">
        <v>374</v>
      </c>
      <c r="H59" s="2" t="str">
        <f t="shared" si="1"/>
        <v>C</v>
      </c>
      <c r="I59" s="5"/>
      <c r="J59" s="5"/>
      <c r="K59" s="5"/>
      <c r="L59" s="5">
        <v>11.29</v>
      </c>
      <c r="M59" s="5" t="s">
        <v>571</v>
      </c>
      <c r="N59" s="5"/>
      <c r="O59" s="5"/>
      <c r="P59" s="5"/>
      <c r="R59" s="5"/>
      <c r="S59" s="5"/>
      <c r="T59" s="9">
        <f>MEDIAN(2,3)</f>
        <v>2.5</v>
      </c>
      <c r="U59" s="2" t="str">
        <f>IF(T59&lt;=1, "1",IF(AND(T59&gt;1,T59&lt;4), "2-3", "+4"))</f>
        <v>2-3</v>
      </c>
      <c r="W59" s="6" t="s">
        <v>2310</v>
      </c>
    </row>
    <row r="60" spans="1:23" x14ac:dyDescent="0.15">
      <c r="A60" s="1" t="s">
        <v>25</v>
      </c>
      <c r="B60" s="2" t="s">
        <v>3944</v>
      </c>
      <c r="C60" s="1" t="s">
        <v>1052</v>
      </c>
      <c r="D60" s="1" t="s">
        <v>396</v>
      </c>
      <c r="E60" s="1"/>
      <c r="F60" s="1" t="s">
        <v>59</v>
      </c>
      <c r="G60" s="1">
        <v>-35.18</v>
      </c>
      <c r="H60" s="1" t="s">
        <v>3887</v>
      </c>
      <c r="I60" s="8"/>
      <c r="J60" s="8"/>
      <c r="K60" s="8"/>
      <c r="L60" s="8">
        <v>11.3</v>
      </c>
      <c r="M60" s="1" t="s">
        <v>571</v>
      </c>
      <c r="N60" s="8">
        <v>31.2</v>
      </c>
      <c r="O60" s="8">
        <v>20.2</v>
      </c>
      <c r="P60" s="8">
        <v>7.3</v>
      </c>
      <c r="Q60" s="1" t="s">
        <v>18</v>
      </c>
      <c r="R60" s="8">
        <v>82.49</v>
      </c>
      <c r="S60" s="8"/>
      <c r="T60" s="1"/>
      <c r="U60" s="1"/>
      <c r="V60" s="1"/>
      <c r="W60" s="6" t="s">
        <v>3888</v>
      </c>
    </row>
    <row r="61" spans="1:23" x14ac:dyDescent="0.15">
      <c r="A61" s="2" t="s">
        <v>25</v>
      </c>
      <c r="B61" s="2" t="s">
        <v>3944</v>
      </c>
      <c r="C61" s="2" t="s">
        <v>1052</v>
      </c>
      <c r="D61" s="2" t="s">
        <v>396</v>
      </c>
      <c r="E61" s="1"/>
      <c r="F61" s="2" t="s">
        <v>35</v>
      </c>
      <c r="G61" s="2">
        <v>-30.5</v>
      </c>
      <c r="H61" s="2" t="str">
        <f t="shared" ref="H61:H92" si="2">IF(G61="captive","C","W")</f>
        <v>W</v>
      </c>
      <c r="I61" s="5">
        <v>23.16</v>
      </c>
      <c r="J61" s="5">
        <v>2200</v>
      </c>
      <c r="K61" s="5">
        <v>11</v>
      </c>
      <c r="L61" s="5">
        <v>13.99</v>
      </c>
      <c r="M61" s="5" t="s">
        <v>571</v>
      </c>
      <c r="N61" s="5">
        <v>33.130000000000003</v>
      </c>
      <c r="O61" s="5">
        <v>22.28</v>
      </c>
      <c r="P61" s="5">
        <f>(0.249*N61) + (0.698*O61) - 14.434</f>
        <v>9.3668099999999992</v>
      </c>
      <c r="Q61" s="2" t="s">
        <v>376</v>
      </c>
      <c r="R61" s="5">
        <f>P61*L61</f>
        <v>131.04167189999998</v>
      </c>
      <c r="S61" s="5">
        <f>(R61/J61)*100</f>
        <v>5.9564396318181814</v>
      </c>
      <c r="T61" s="2">
        <v>1</v>
      </c>
      <c r="U61" s="2" t="str">
        <f>IF(T61&lt;=1, "1",IF(AND(T61&gt;1,T61&lt;4), "2-3", "+4"))</f>
        <v>1</v>
      </c>
      <c r="V61" s="5">
        <f>T61*S61</f>
        <v>5.9564396318181814</v>
      </c>
      <c r="W61" s="6" t="s">
        <v>3232</v>
      </c>
    </row>
    <row r="62" spans="1:23" x14ac:dyDescent="0.15">
      <c r="A62" s="2" t="s">
        <v>25</v>
      </c>
      <c r="B62" s="2" t="s">
        <v>3944</v>
      </c>
      <c r="C62" s="2" t="s">
        <v>1052</v>
      </c>
      <c r="D62" s="2" t="s">
        <v>396</v>
      </c>
      <c r="E62" s="1"/>
      <c r="F62" s="2" t="s">
        <v>37</v>
      </c>
      <c r="G62" s="2">
        <v>-37</v>
      </c>
      <c r="H62" s="2" t="str">
        <f t="shared" si="2"/>
        <v>W</v>
      </c>
      <c r="I62" s="5">
        <v>21.68</v>
      </c>
      <c r="J62" s="5">
        <f>0.92*1000</f>
        <v>920</v>
      </c>
      <c r="K62" s="5"/>
      <c r="L62" s="5">
        <v>12.3</v>
      </c>
      <c r="M62" s="2" t="s">
        <v>571</v>
      </c>
      <c r="N62" s="5">
        <f>(P62+14.434-(0.698*O62))/0.249</f>
        <v>32.152449799196781</v>
      </c>
      <c r="O62" s="5">
        <v>18.98</v>
      </c>
      <c r="P62" s="5">
        <v>6.82</v>
      </c>
      <c r="Q62" s="2" t="s">
        <v>18</v>
      </c>
      <c r="R62" s="5">
        <v>72.28</v>
      </c>
      <c r="S62" s="5">
        <f>(R62/J62)*100</f>
        <v>7.8565217391304341</v>
      </c>
      <c r="V62" s="5"/>
      <c r="W62" s="6" t="s">
        <v>38</v>
      </c>
    </row>
    <row r="63" spans="1:23" x14ac:dyDescent="0.15">
      <c r="A63" s="2" t="s">
        <v>25</v>
      </c>
      <c r="B63" s="2" t="s">
        <v>3944</v>
      </c>
      <c r="C63" s="2" t="s">
        <v>1052</v>
      </c>
      <c r="D63" s="2" t="s">
        <v>396</v>
      </c>
      <c r="E63" s="1"/>
      <c r="F63" s="2" t="s">
        <v>374</v>
      </c>
      <c r="G63" s="2" t="s">
        <v>374</v>
      </c>
      <c r="H63" s="2" t="str">
        <f t="shared" si="2"/>
        <v>C</v>
      </c>
      <c r="I63" s="5">
        <v>20</v>
      </c>
      <c r="J63" s="5">
        <f>(0.2*I63^2.78)</f>
        <v>827.73893439629308</v>
      </c>
      <c r="K63" s="5"/>
      <c r="L63" s="7">
        <f>MEDIAN(9,12)</f>
        <v>10.5</v>
      </c>
      <c r="M63" s="5" t="s">
        <v>571</v>
      </c>
      <c r="N63" s="7">
        <v>35</v>
      </c>
      <c r="O63" s="5">
        <v>20</v>
      </c>
      <c r="P63" s="7">
        <f>MEDIAN(6,10)</f>
        <v>8</v>
      </c>
      <c r="Q63" s="2" t="s">
        <v>18</v>
      </c>
      <c r="R63" s="5">
        <f>P63*L63</f>
        <v>84</v>
      </c>
      <c r="S63" s="5"/>
      <c r="T63" s="2" t="s">
        <v>410</v>
      </c>
      <c r="U63" s="40" t="s">
        <v>395</v>
      </c>
      <c r="V63" s="5"/>
      <c r="W63" s="6" t="s">
        <v>3458</v>
      </c>
    </row>
    <row r="64" spans="1:23" x14ac:dyDescent="0.15">
      <c r="A64" s="2" t="s">
        <v>25</v>
      </c>
      <c r="B64" s="2" t="s">
        <v>3944</v>
      </c>
      <c r="C64" s="2" t="s">
        <v>1052</v>
      </c>
      <c r="D64" s="2" t="s">
        <v>396</v>
      </c>
      <c r="E64" s="1"/>
      <c r="F64" s="2" t="s">
        <v>374</v>
      </c>
      <c r="G64" s="2" t="s">
        <v>374</v>
      </c>
      <c r="H64" s="2" t="str">
        <f t="shared" si="2"/>
        <v>C</v>
      </c>
      <c r="I64" s="5">
        <v>20.75</v>
      </c>
      <c r="J64" s="5">
        <v>1175</v>
      </c>
      <c r="K64" s="5"/>
      <c r="L64" s="5">
        <v>14</v>
      </c>
      <c r="M64" s="5" t="s">
        <v>571</v>
      </c>
      <c r="N64" s="5"/>
      <c r="O64" s="5"/>
      <c r="P64" s="5"/>
      <c r="R64" s="5"/>
      <c r="S64" s="5"/>
      <c r="V64" s="5"/>
      <c r="W64" s="6" t="s">
        <v>2312</v>
      </c>
    </row>
    <row r="65" spans="1:24" x14ac:dyDescent="0.15">
      <c r="A65" s="2" t="s">
        <v>25</v>
      </c>
      <c r="B65" s="2" t="s">
        <v>3944</v>
      </c>
      <c r="C65" s="2" t="s">
        <v>1052</v>
      </c>
      <c r="D65" s="2" t="s">
        <v>396</v>
      </c>
      <c r="E65" s="1"/>
      <c r="F65" s="2" t="s">
        <v>445</v>
      </c>
      <c r="G65" s="2">
        <v>-35.280900000000003</v>
      </c>
      <c r="H65" s="2" t="str">
        <f t="shared" si="2"/>
        <v>W</v>
      </c>
      <c r="I65" s="5"/>
      <c r="J65" s="5"/>
      <c r="K65" s="5"/>
      <c r="L65" s="5">
        <v>19</v>
      </c>
      <c r="M65" s="5" t="s">
        <v>571</v>
      </c>
      <c r="N65" s="5">
        <v>30.3</v>
      </c>
      <c r="O65" s="5">
        <v>19.600000000000001</v>
      </c>
      <c r="P65" s="5">
        <f>(0.249*N65) + (0.698*O65) - 14.434</f>
        <v>6.791500000000001</v>
      </c>
      <c r="Q65" s="2" t="s">
        <v>376</v>
      </c>
      <c r="R65" s="5">
        <f>P65*L65</f>
        <v>129.03850000000003</v>
      </c>
      <c r="S65" s="5"/>
      <c r="T65" s="2">
        <v>1</v>
      </c>
      <c r="U65" s="2" t="str">
        <f>IF(T65&lt;=1, "1",IF(AND(T65&gt;1,T65&lt;4), "2-3", "+4"))</f>
        <v>1</v>
      </c>
      <c r="V65" s="5"/>
      <c r="W65" s="6" t="s">
        <v>2188</v>
      </c>
    </row>
    <row r="66" spans="1:24" x14ac:dyDescent="0.15">
      <c r="A66" s="2" t="s">
        <v>25</v>
      </c>
      <c r="B66" s="2" t="s">
        <v>3944</v>
      </c>
      <c r="C66" s="2" t="s">
        <v>1052</v>
      </c>
      <c r="D66" s="2" t="s">
        <v>482</v>
      </c>
      <c r="E66" s="1"/>
      <c r="F66" s="2" t="s">
        <v>374</v>
      </c>
      <c r="G66" s="2" t="s">
        <v>374</v>
      </c>
      <c r="H66" s="2" t="str">
        <f t="shared" si="2"/>
        <v>C</v>
      </c>
      <c r="I66" s="5">
        <v>21.13</v>
      </c>
      <c r="J66" s="5">
        <v>1371</v>
      </c>
      <c r="K66" s="5"/>
      <c r="L66" s="5">
        <v>12.2</v>
      </c>
      <c r="M66" s="2" t="s">
        <v>571</v>
      </c>
      <c r="N66" s="5">
        <v>29.8</v>
      </c>
      <c r="O66" s="5">
        <v>20.100000000000001</v>
      </c>
      <c r="P66" s="5">
        <v>6.9</v>
      </c>
      <c r="Q66" s="2" t="s">
        <v>18</v>
      </c>
      <c r="R66" s="5">
        <v>84.18</v>
      </c>
      <c r="S66" s="5">
        <v>6.14</v>
      </c>
      <c r="T66" s="2" t="s">
        <v>122</v>
      </c>
      <c r="V66" s="5"/>
      <c r="W66" s="6" t="s">
        <v>2196</v>
      </c>
    </row>
    <row r="67" spans="1:24" x14ac:dyDescent="0.15">
      <c r="A67" s="2" t="s">
        <v>25</v>
      </c>
      <c r="B67" s="2" t="s">
        <v>3944</v>
      </c>
      <c r="C67" s="2" t="s">
        <v>1052</v>
      </c>
      <c r="D67" s="2" t="s">
        <v>482</v>
      </c>
      <c r="E67" s="1"/>
      <c r="F67" s="2" t="s">
        <v>374</v>
      </c>
      <c r="G67" s="2" t="s">
        <v>374</v>
      </c>
      <c r="H67" s="2" t="str">
        <f t="shared" si="2"/>
        <v>C</v>
      </c>
      <c r="I67" s="5">
        <v>22</v>
      </c>
      <c r="J67" s="5">
        <f xml:space="preserve"> 3.12176*I67^2.0494</f>
        <v>1760.1940704458498</v>
      </c>
      <c r="K67" s="5"/>
      <c r="L67" s="7"/>
      <c r="M67" s="2" t="s">
        <v>571</v>
      </c>
      <c r="N67" s="7">
        <v>29</v>
      </c>
      <c r="O67" s="5">
        <v>21</v>
      </c>
      <c r="P67" s="7">
        <f>MEDIAN(6,8)</f>
        <v>7</v>
      </c>
      <c r="Q67" s="2" t="s">
        <v>18</v>
      </c>
      <c r="R67" s="5"/>
      <c r="S67" s="5"/>
      <c r="T67" s="2" t="s">
        <v>399</v>
      </c>
      <c r="U67" s="2" t="str">
        <f>IF(T67&lt;=1, "1",IF(AND(T67&gt;1,T67&lt;4), "2-3", "+4"))</f>
        <v>+4</v>
      </c>
      <c r="V67" s="5"/>
      <c r="W67" s="6" t="s">
        <v>2191</v>
      </c>
    </row>
    <row r="68" spans="1:24" x14ac:dyDescent="0.15">
      <c r="A68" s="2" t="s">
        <v>25</v>
      </c>
      <c r="B68" s="2" t="s">
        <v>3944</v>
      </c>
      <c r="C68" s="2" t="s">
        <v>1052</v>
      </c>
      <c r="D68" s="2" t="s">
        <v>482</v>
      </c>
      <c r="E68" s="1"/>
      <c r="F68" s="2" t="s">
        <v>374</v>
      </c>
      <c r="G68" s="2" t="s">
        <v>374</v>
      </c>
      <c r="H68" s="2" t="str">
        <f t="shared" si="2"/>
        <v>C</v>
      </c>
      <c r="I68" s="5">
        <v>19.75</v>
      </c>
      <c r="J68" s="5">
        <v>1118.5</v>
      </c>
      <c r="K68" s="5"/>
      <c r="L68" s="5">
        <v>9.9</v>
      </c>
      <c r="M68" s="2" t="s">
        <v>571</v>
      </c>
      <c r="N68" s="5">
        <v>29</v>
      </c>
      <c r="O68" s="5">
        <v>19</v>
      </c>
      <c r="P68" s="5">
        <v>8</v>
      </c>
      <c r="Q68" s="2" t="s">
        <v>18</v>
      </c>
      <c r="R68" s="5">
        <v>79.2</v>
      </c>
      <c r="S68" s="5">
        <v>7.08</v>
      </c>
      <c r="T68" s="2" t="s">
        <v>399</v>
      </c>
      <c r="U68" s="2" t="str">
        <f>IF(T68&lt;=1, "1",IF(AND(T68&gt;1,T68&lt;4), "2-3", "+4"))</f>
        <v>+4</v>
      </c>
      <c r="V68" s="5"/>
      <c r="W68" s="6" t="s">
        <v>2197</v>
      </c>
    </row>
    <row r="69" spans="1:24" x14ac:dyDescent="0.15">
      <c r="A69" s="2" t="s">
        <v>25</v>
      </c>
      <c r="B69" s="2" t="s">
        <v>3944</v>
      </c>
      <c r="C69" s="2" t="s">
        <v>1052</v>
      </c>
      <c r="D69" s="2" t="s">
        <v>1746</v>
      </c>
      <c r="E69" s="1"/>
      <c r="F69" s="2" t="s">
        <v>374</v>
      </c>
      <c r="G69" s="2" t="s">
        <v>374</v>
      </c>
      <c r="H69" s="2" t="str">
        <f t="shared" si="2"/>
        <v>C</v>
      </c>
      <c r="I69" s="5">
        <v>16</v>
      </c>
      <c r="J69" s="5">
        <f xml:space="preserve"> 1.7069*(I69^2.2421)</f>
        <v>854.99877306322935</v>
      </c>
      <c r="K69" s="5"/>
      <c r="L69" s="5">
        <v>15</v>
      </c>
      <c r="M69" s="2" t="s">
        <v>571</v>
      </c>
      <c r="N69" s="5"/>
      <c r="O69" s="5"/>
      <c r="P69" s="5"/>
      <c r="R69" s="5"/>
      <c r="S69" s="5"/>
      <c r="V69" s="5"/>
      <c r="W69" s="6" t="s">
        <v>2313</v>
      </c>
    </row>
    <row r="70" spans="1:24" x14ac:dyDescent="0.15">
      <c r="A70" s="1" t="s">
        <v>25</v>
      </c>
      <c r="B70" s="2" t="s">
        <v>3944</v>
      </c>
      <c r="C70" s="2" t="s">
        <v>1052</v>
      </c>
      <c r="D70" s="1" t="s">
        <v>1746</v>
      </c>
      <c r="E70" s="1"/>
      <c r="F70" s="1" t="s">
        <v>374</v>
      </c>
      <c r="G70" s="1" t="s">
        <v>374</v>
      </c>
      <c r="H70" s="2" t="str">
        <f t="shared" si="2"/>
        <v>C</v>
      </c>
      <c r="I70" s="8">
        <v>17.5</v>
      </c>
      <c r="J70" s="8">
        <v>800</v>
      </c>
      <c r="K70" s="8"/>
      <c r="L70" s="8">
        <v>8</v>
      </c>
      <c r="M70" s="1" t="s">
        <v>571</v>
      </c>
      <c r="N70" s="8">
        <v>29.5</v>
      </c>
      <c r="O70" s="8">
        <v>19</v>
      </c>
      <c r="P70" s="8">
        <v>6.1740000000000004</v>
      </c>
      <c r="Q70" s="1" t="s">
        <v>376</v>
      </c>
      <c r="R70" s="8">
        <v>49.387999999999998</v>
      </c>
      <c r="S70" s="8">
        <v>6.1734999999999998</v>
      </c>
      <c r="T70" s="1">
        <v>2</v>
      </c>
      <c r="U70" s="2" t="str">
        <f>IF(T70&lt;=1, "1",IF(AND(T70&gt;1,T70&lt;4), "2-3", "+4"))</f>
        <v>2-3</v>
      </c>
      <c r="V70" s="8">
        <v>12.35</v>
      </c>
      <c r="W70" s="6" t="s">
        <v>3950</v>
      </c>
      <c r="X70" s="1"/>
    </row>
    <row r="71" spans="1:24" x14ac:dyDescent="0.15">
      <c r="A71" s="2" t="s">
        <v>25</v>
      </c>
      <c r="B71" s="2" t="s">
        <v>3944</v>
      </c>
      <c r="C71" s="2" t="s">
        <v>1052</v>
      </c>
      <c r="D71" s="2" t="s">
        <v>1746</v>
      </c>
      <c r="E71" s="1"/>
      <c r="F71" s="2" t="s">
        <v>374</v>
      </c>
      <c r="G71" s="2" t="s">
        <v>374</v>
      </c>
      <c r="H71" s="2" t="str">
        <f t="shared" si="2"/>
        <v>C</v>
      </c>
      <c r="I71" s="5">
        <v>19.7</v>
      </c>
      <c r="J71" s="5">
        <f xml:space="preserve"> 1.7069*(I71^2.2421)</f>
        <v>1363.1096867857711</v>
      </c>
      <c r="K71" s="5"/>
      <c r="L71" s="5">
        <v>9</v>
      </c>
      <c r="M71" s="2" t="s">
        <v>571</v>
      </c>
      <c r="N71" s="5">
        <f>MEDIAN(30,35)</f>
        <v>32.5</v>
      </c>
      <c r="O71" s="5">
        <f>MEDIAN(30,35)</f>
        <v>32.5</v>
      </c>
      <c r="P71" s="5"/>
      <c r="Q71" s="2" t="s">
        <v>376</v>
      </c>
      <c r="R71" s="5"/>
      <c r="S71" s="5"/>
      <c r="T71" s="2">
        <v>1</v>
      </c>
      <c r="U71" s="2" t="str">
        <f>IF(T71&lt;=1, "1",IF(AND(T71&gt;1,T71&lt;4), "2-3", "+4"))</f>
        <v>1</v>
      </c>
      <c r="V71" s="5"/>
      <c r="W71" s="6" t="s">
        <v>2314</v>
      </c>
    </row>
    <row r="72" spans="1:24" x14ac:dyDescent="0.15">
      <c r="A72" s="2" t="s">
        <v>25</v>
      </c>
      <c r="B72" s="2" t="s">
        <v>3944</v>
      </c>
      <c r="C72" s="2" t="s">
        <v>1052</v>
      </c>
      <c r="D72" s="2" t="s">
        <v>596</v>
      </c>
      <c r="E72" s="1"/>
      <c r="F72" s="2" t="s">
        <v>31</v>
      </c>
      <c r="G72" s="2">
        <v>-32.67</v>
      </c>
      <c r="H72" s="2" t="str">
        <f t="shared" si="2"/>
        <v>W</v>
      </c>
      <c r="I72" s="5">
        <v>19.350000000000001</v>
      </c>
      <c r="J72" s="5">
        <v>1132.5</v>
      </c>
      <c r="K72" s="5"/>
      <c r="L72" s="5">
        <v>9</v>
      </c>
      <c r="M72" s="2" t="s">
        <v>571</v>
      </c>
      <c r="N72" s="5">
        <v>33.1</v>
      </c>
      <c r="O72" s="5">
        <v>21.8</v>
      </c>
      <c r="P72" s="5">
        <v>9.9</v>
      </c>
      <c r="Q72" s="2" t="s">
        <v>18</v>
      </c>
      <c r="R72" s="5">
        <v>89.1</v>
      </c>
      <c r="S72" s="5">
        <f>(R72/J72)*100</f>
        <v>7.8675496688741715</v>
      </c>
      <c r="T72" s="2" t="s">
        <v>372</v>
      </c>
      <c r="U72" s="40" t="s">
        <v>395</v>
      </c>
      <c r="V72" s="5">
        <f>S72*2</f>
        <v>15.735099337748343</v>
      </c>
      <c r="W72" s="6" t="s">
        <v>32</v>
      </c>
    </row>
    <row r="73" spans="1:24" x14ac:dyDescent="0.15">
      <c r="A73" s="2" t="s">
        <v>25</v>
      </c>
      <c r="B73" s="2" t="s">
        <v>3944</v>
      </c>
      <c r="C73" s="2" t="s">
        <v>1052</v>
      </c>
      <c r="D73" s="2" t="s">
        <v>596</v>
      </c>
      <c r="E73" s="1"/>
      <c r="F73" s="2" t="s">
        <v>597</v>
      </c>
      <c r="G73" s="2">
        <v>-32</v>
      </c>
      <c r="H73" s="2" t="str">
        <f t="shared" si="2"/>
        <v>W</v>
      </c>
      <c r="I73" s="5">
        <v>23.17</v>
      </c>
      <c r="J73" s="5">
        <f>0.0634*(23.17^3.16)</f>
        <v>1303.933744736983</v>
      </c>
      <c r="K73" s="5"/>
      <c r="L73" s="5">
        <v>14.67</v>
      </c>
      <c r="M73" s="2" t="s">
        <v>571</v>
      </c>
      <c r="N73" s="5">
        <v>32.832999999999998</v>
      </c>
      <c r="O73" s="5">
        <v>22.13</v>
      </c>
      <c r="P73" s="5">
        <f xml:space="preserve"> (0.249*N73) + (0.698*O73) - 14.434</f>
        <v>9.1881569999999986</v>
      </c>
      <c r="Q73" s="2" t="s">
        <v>376</v>
      </c>
      <c r="R73" s="5">
        <f>(P73*L73)</f>
        <v>134.79026318999999</v>
      </c>
      <c r="S73" s="5">
        <f>(R73/J73)*100</f>
        <v>10.337201850481183</v>
      </c>
      <c r="T73" s="2">
        <v>3</v>
      </c>
      <c r="U73" s="2" t="str">
        <f>IF(T73&lt;=1, "1",IF(AND(T73&gt;1,T73&lt;4), "2-3", "+4"))</f>
        <v>2-3</v>
      </c>
      <c r="V73" s="5">
        <f>S73*T73</f>
        <v>31.011605551443548</v>
      </c>
      <c r="W73" s="6" t="s">
        <v>2198</v>
      </c>
    </row>
    <row r="74" spans="1:24" x14ac:dyDescent="0.15">
      <c r="A74" s="2" t="s">
        <v>25</v>
      </c>
      <c r="B74" s="2" t="s">
        <v>3944</v>
      </c>
      <c r="C74" s="2" t="s">
        <v>1052</v>
      </c>
      <c r="D74" s="2" t="s">
        <v>596</v>
      </c>
      <c r="E74" s="1"/>
      <c r="F74" s="2" t="s">
        <v>597</v>
      </c>
      <c r="G74" s="2">
        <v>-32.67</v>
      </c>
      <c r="H74" s="2" t="str">
        <f t="shared" si="2"/>
        <v>W</v>
      </c>
      <c r="I74" s="5">
        <v>24.8</v>
      </c>
      <c r="J74" s="5">
        <v>1865</v>
      </c>
      <c r="K74" s="5"/>
      <c r="L74" s="5"/>
      <c r="M74" s="2" t="s">
        <v>571</v>
      </c>
      <c r="N74" s="5"/>
      <c r="O74" s="5"/>
      <c r="P74" s="5"/>
      <c r="R74" s="5"/>
      <c r="S74" s="5"/>
      <c r="T74" s="2" t="s">
        <v>382</v>
      </c>
      <c r="U74" s="40" t="s">
        <v>395</v>
      </c>
      <c r="W74" s="6" t="s">
        <v>3456</v>
      </c>
    </row>
    <row r="75" spans="1:24" ht="12.75" customHeight="1" x14ac:dyDescent="0.15">
      <c r="A75" s="2" t="s">
        <v>25</v>
      </c>
      <c r="B75" s="2" t="s">
        <v>3944</v>
      </c>
      <c r="C75" s="2" t="s">
        <v>1052</v>
      </c>
      <c r="D75" s="2" t="s">
        <v>596</v>
      </c>
      <c r="E75" s="1"/>
      <c r="F75" s="2" t="s">
        <v>40</v>
      </c>
      <c r="G75" s="2">
        <v>-31</v>
      </c>
      <c r="H75" s="2" t="str">
        <f t="shared" si="2"/>
        <v>W</v>
      </c>
      <c r="I75" s="5">
        <v>25.45</v>
      </c>
      <c r="J75" s="5">
        <f>1.63*1000</f>
        <v>1630</v>
      </c>
      <c r="K75" s="5"/>
      <c r="L75" s="5">
        <v>13.33</v>
      </c>
      <c r="M75" s="2" t="s">
        <v>571</v>
      </c>
      <c r="N75" s="5"/>
      <c r="O75" s="5">
        <v>22.74</v>
      </c>
      <c r="P75" s="5">
        <v>10.78</v>
      </c>
      <c r="Q75" s="2" t="s">
        <v>18</v>
      </c>
      <c r="R75" s="5">
        <v>137.1</v>
      </c>
      <c r="S75" s="5">
        <f>(R75/J75)*100</f>
        <v>8.4110429447852759</v>
      </c>
      <c r="W75" s="6" t="s">
        <v>38</v>
      </c>
    </row>
    <row r="76" spans="1:24" x14ac:dyDescent="0.15">
      <c r="A76" s="2" t="s">
        <v>25</v>
      </c>
      <c r="B76" s="2" t="s">
        <v>3944</v>
      </c>
      <c r="C76" s="2" t="s">
        <v>1052</v>
      </c>
      <c r="D76" s="2" t="s">
        <v>596</v>
      </c>
      <c r="E76" s="1"/>
      <c r="F76" s="2" t="s">
        <v>851</v>
      </c>
      <c r="G76" s="2">
        <v>-33.96</v>
      </c>
      <c r="H76" s="2" t="str">
        <f t="shared" si="2"/>
        <v>W</v>
      </c>
      <c r="I76" s="5"/>
      <c r="J76" s="5"/>
      <c r="K76" s="5"/>
      <c r="L76" s="5">
        <v>12</v>
      </c>
      <c r="M76" s="2" t="s">
        <v>571</v>
      </c>
      <c r="N76" s="5"/>
      <c r="O76" s="5"/>
      <c r="P76" s="5"/>
      <c r="R76" s="5"/>
      <c r="S76" s="5"/>
      <c r="W76" s="6" t="s">
        <v>2305</v>
      </c>
    </row>
    <row r="77" spans="1:24" x14ac:dyDescent="0.15">
      <c r="A77" s="2" t="s">
        <v>25</v>
      </c>
      <c r="B77" s="2" t="s">
        <v>3944</v>
      </c>
      <c r="C77" s="2" t="s">
        <v>1052</v>
      </c>
      <c r="D77" s="2" t="s">
        <v>383</v>
      </c>
      <c r="E77" s="1"/>
      <c r="F77" s="2" t="s">
        <v>374</v>
      </c>
      <c r="G77" s="2" t="s">
        <v>374</v>
      </c>
      <c r="H77" s="2" t="str">
        <f t="shared" si="2"/>
        <v>C</v>
      </c>
      <c r="I77" s="5"/>
      <c r="J77" s="5"/>
      <c r="K77" s="5"/>
      <c r="L77" s="5">
        <v>9.33</v>
      </c>
      <c r="M77" s="2" t="s">
        <v>571</v>
      </c>
      <c r="N77" s="5">
        <v>28.7</v>
      </c>
      <c r="O77" s="5">
        <v>26.2</v>
      </c>
      <c r="P77" s="5">
        <f xml:space="preserve"> 0.355*N77 + 0.591*O77 - 11.815</f>
        <v>13.857699999999999</v>
      </c>
      <c r="Q77" s="2" t="s">
        <v>376</v>
      </c>
      <c r="R77" s="5">
        <v>129.30000000000001</v>
      </c>
      <c r="S77" s="5"/>
      <c r="T77" s="2">
        <v>2</v>
      </c>
      <c r="U77" s="2" t="str">
        <f>IF(T77&lt;=1, "1",IF(AND(T77&gt;1,T77&lt;4), "2-3", "+4"))</f>
        <v>2-3</v>
      </c>
      <c r="W77" s="6" t="s">
        <v>2200</v>
      </c>
    </row>
    <row r="78" spans="1:24" x14ac:dyDescent="0.15">
      <c r="A78" s="2" t="s">
        <v>25</v>
      </c>
      <c r="B78" s="2" t="s">
        <v>3944</v>
      </c>
      <c r="C78" s="2" t="s">
        <v>1052</v>
      </c>
      <c r="D78" s="2" t="s">
        <v>383</v>
      </c>
      <c r="E78" s="1"/>
      <c r="F78" s="2" t="s">
        <v>53</v>
      </c>
      <c r="G78" s="2">
        <v>-8</v>
      </c>
      <c r="H78" s="2" t="str">
        <f t="shared" si="2"/>
        <v>W</v>
      </c>
      <c r="I78" s="5">
        <v>22</v>
      </c>
      <c r="J78" s="5">
        <f xml:space="preserve"> 1.7069*I78^2.2421</f>
        <v>1746.0391249168483</v>
      </c>
      <c r="K78" s="5"/>
      <c r="L78" s="5"/>
      <c r="M78" s="2" t="s">
        <v>571</v>
      </c>
      <c r="N78" s="5">
        <v>35.549999999999997</v>
      </c>
      <c r="O78" s="5">
        <v>28.574999999999999</v>
      </c>
      <c r="P78" s="5">
        <v>16.350000000000001</v>
      </c>
      <c r="Q78" s="2" t="s">
        <v>376</v>
      </c>
      <c r="R78" s="5"/>
      <c r="S78" s="5"/>
      <c r="W78" s="6" t="s">
        <v>41</v>
      </c>
    </row>
    <row r="79" spans="1:24" x14ac:dyDescent="0.15">
      <c r="A79" s="2" t="s">
        <v>25</v>
      </c>
      <c r="B79" s="2" t="s">
        <v>3944</v>
      </c>
      <c r="C79" s="2" t="s">
        <v>1052</v>
      </c>
      <c r="D79" s="2" t="s">
        <v>383</v>
      </c>
      <c r="E79" s="1"/>
      <c r="F79" s="2" t="s">
        <v>374</v>
      </c>
      <c r="G79" s="2" t="s">
        <v>374</v>
      </c>
      <c r="H79" s="2" t="str">
        <f t="shared" si="2"/>
        <v>C</v>
      </c>
      <c r="I79" s="5">
        <v>23.88</v>
      </c>
      <c r="J79" s="5">
        <v>1750</v>
      </c>
      <c r="K79" s="5"/>
      <c r="L79" s="5">
        <v>8.4</v>
      </c>
      <c r="M79" s="2" t="s">
        <v>571</v>
      </c>
      <c r="N79" s="5">
        <v>31</v>
      </c>
      <c r="O79" s="5">
        <v>24</v>
      </c>
      <c r="P79" s="5">
        <v>12</v>
      </c>
      <c r="Q79" s="2" t="s">
        <v>18</v>
      </c>
      <c r="R79" s="5">
        <v>100.8</v>
      </c>
      <c r="S79" s="5">
        <v>5.76</v>
      </c>
      <c r="W79" s="6" t="s">
        <v>2201</v>
      </c>
    </row>
    <row r="80" spans="1:24" x14ac:dyDescent="0.15">
      <c r="A80" s="2" t="s">
        <v>25</v>
      </c>
      <c r="B80" s="2" t="s">
        <v>3944</v>
      </c>
      <c r="C80" s="2" t="s">
        <v>1052</v>
      </c>
      <c r="D80" s="2" t="s">
        <v>663</v>
      </c>
      <c r="E80" s="1"/>
      <c r="F80" s="2" t="s">
        <v>29</v>
      </c>
      <c r="G80" s="2" t="s">
        <v>838</v>
      </c>
      <c r="H80" s="2" t="str">
        <f t="shared" si="2"/>
        <v>W</v>
      </c>
      <c r="I80" s="5"/>
      <c r="J80" s="5"/>
      <c r="K80" s="5"/>
      <c r="L80" s="5"/>
      <c r="M80" s="2" t="s">
        <v>571</v>
      </c>
      <c r="N80" s="5"/>
      <c r="O80" s="5"/>
      <c r="P80" s="5"/>
      <c r="R80" s="5"/>
      <c r="S80" s="5"/>
      <c r="W80" s="6" t="s">
        <v>838</v>
      </c>
    </row>
    <row r="81" spans="1:23" x14ac:dyDescent="0.15">
      <c r="A81" s="2" t="s">
        <v>25</v>
      </c>
      <c r="B81" s="2" t="s">
        <v>3944</v>
      </c>
      <c r="C81" s="2" t="s">
        <v>1052</v>
      </c>
      <c r="D81" s="2" t="s">
        <v>664</v>
      </c>
      <c r="E81" s="1"/>
      <c r="F81" s="2" t="s">
        <v>374</v>
      </c>
      <c r="G81" s="2" t="s">
        <v>374</v>
      </c>
      <c r="H81" s="2" t="str">
        <f t="shared" si="2"/>
        <v>C</v>
      </c>
      <c r="I81" s="5">
        <v>19.329999999999998</v>
      </c>
      <c r="J81" s="5">
        <v>818.5</v>
      </c>
      <c r="K81" s="5"/>
      <c r="L81" s="5">
        <v>8.2200000000000006</v>
      </c>
      <c r="M81" s="2" t="s">
        <v>571</v>
      </c>
      <c r="N81" s="5">
        <v>34</v>
      </c>
      <c r="O81" s="5">
        <v>23</v>
      </c>
      <c r="P81" s="5">
        <f xml:space="preserve"> 0.355*N81 + 0.591*O81 - 11.815</f>
        <v>13.848000000000001</v>
      </c>
      <c r="Q81" s="2" t="s">
        <v>376</v>
      </c>
      <c r="R81" s="5">
        <v>82.91</v>
      </c>
      <c r="S81" s="5">
        <v>10.130000000000001</v>
      </c>
      <c r="T81" s="9">
        <f>MEDIAN(2,3)</f>
        <v>2.5</v>
      </c>
      <c r="U81" s="2" t="str">
        <f>IF(T81&lt;=1, "1",IF(AND(T81&gt;1,T81&lt;4), "2-3", "+4"))</f>
        <v>2-3</v>
      </c>
      <c r="V81" s="5">
        <f>S81*T81</f>
        <v>25.325000000000003</v>
      </c>
      <c r="W81" s="6" t="s">
        <v>2317</v>
      </c>
    </row>
    <row r="82" spans="1:23" x14ac:dyDescent="0.15">
      <c r="A82" s="2" t="s">
        <v>25</v>
      </c>
      <c r="B82" s="2" t="s">
        <v>3944</v>
      </c>
      <c r="C82" s="2" t="s">
        <v>1052</v>
      </c>
      <c r="D82" s="2" t="s">
        <v>664</v>
      </c>
      <c r="E82" s="1"/>
      <c r="F82" s="2" t="s">
        <v>374</v>
      </c>
      <c r="G82" s="2" t="s">
        <v>374</v>
      </c>
      <c r="H82" s="2" t="str">
        <f t="shared" si="2"/>
        <v>C</v>
      </c>
      <c r="I82" s="5"/>
      <c r="J82" s="5"/>
      <c r="K82" s="5"/>
      <c r="L82" s="5">
        <v>5.5</v>
      </c>
      <c r="M82" s="2" t="s">
        <v>571</v>
      </c>
      <c r="N82" s="5">
        <v>32</v>
      </c>
      <c r="O82" s="5">
        <v>20</v>
      </c>
      <c r="P82" s="5">
        <v>8.0749999999999993</v>
      </c>
      <c r="Q82" s="2" t="s">
        <v>18</v>
      </c>
      <c r="R82" s="5">
        <v>44.41</v>
      </c>
      <c r="S82" s="5"/>
      <c r="T82" s="5">
        <v>1</v>
      </c>
      <c r="U82" s="2" t="str">
        <f>IF(T82&lt;=1, "1",IF(AND(T82&gt;1,T82&lt;4), "2-3", "+4"))</f>
        <v>1</v>
      </c>
      <c r="V82" s="5"/>
      <c r="W82" s="6" t="s">
        <v>2315</v>
      </c>
    </row>
    <row r="83" spans="1:23" x14ac:dyDescent="0.15">
      <c r="A83" s="2" t="s">
        <v>25</v>
      </c>
      <c r="B83" s="2" t="s">
        <v>3944</v>
      </c>
      <c r="C83" s="2" t="s">
        <v>1052</v>
      </c>
      <c r="D83" s="2" t="s">
        <v>664</v>
      </c>
      <c r="E83" s="1"/>
      <c r="F83" s="2" t="s">
        <v>374</v>
      </c>
      <c r="G83" s="2" t="s">
        <v>374</v>
      </c>
      <c r="H83" s="2" t="str">
        <f t="shared" si="2"/>
        <v>C</v>
      </c>
      <c r="I83" s="5">
        <v>17.100000000000001</v>
      </c>
      <c r="J83" s="5">
        <v>594.70000000000005</v>
      </c>
      <c r="K83" s="5"/>
      <c r="L83" s="5">
        <v>10.333</v>
      </c>
      <c r="M83" s="2" t="s">
        <v>571</v>
      </c>
      <c r="N83" s="5">
        <f>(P83+15.053)/1.0145</f>
        <v>22.733366190241501</v>
      </c>
      <c r="O83" s="5">
        <f>(P83+8.3994)/0.8543</f>
        <v>19.208006555074327</v>
      </c>
      <c r="P83" s="5">
        <v>8.01</v>
      </c>
      <c r="Q83" s="2" t="s">
        <v>18</v>
      </c>
      <c r="R83" s="5">
        <v>82.74</v>
      </c>
      <c r="S83" s="5">
        <v>13.91</v>
      </c>
      <c r="V83" s="5"/>
      <c r="W83" s="6" t="s">
        <v>2316</v>
      </c>
    </row>
    <row r="84" spans="1:23" x14ac:dyDescent="0.15">
      <c r="A84" s="2" t="s">
        <v>25</v>
      </c>
      <c r="B84" s="2" t="s">
        <v>3944</v>
      </c>
      <c r="C84" s="2" t="s">
        <v>1052</v>
      </c>
      <c r="D84" s="2" t="s">
        <v>393</v>
      </c>
      <c r="E84" s="1"/>
      <c r="F84" s="2" t="s">
        <v>374</v>
      </c>
      <c r="G84" s="2" t="s">
        <v>374</v>
      </c>
      <c r="H84" s="2" t="str">
        <f t="shared" si="2"/>
        <v>C</v>
      </c>
      <c r="I84" s="5">
        <v>20.7</v>
      </c>
      <c r="J84" s="5">
        <v>1500</v>
      </c>
      <c r="K84" s="5"/>
      <c r="L84" s="5">
        <v>10</v>
      </c>
      <c r="M84" s="2" t="s">
        <v>571</v>
      </c>
      <c r="N84" s="5">
        <v>35.5</v>
      </c>
      <c r="O84" s="5">
        <v>26</v>
      </c>
      <c r="P84" s="5">
        <v>14.5</v>
      </c>
      <c r="Q84" s="2" t="s">
        <v>18</v>
      </c>
      <c r="R84" s="5">
        <v>145</v>
      </c>
      <c r="S84" s="5">
        <v>9.6669999999999998</v>
      </c>
      <c r="V84" s="5"/>
      <c r="W84" s="6" t="s">
        <v>3145</v>
      </c>
    </row>
    <row r="85" spans="1:23" x14ac:dyDescent="0.15">
      <c r="A85" s="2" t="s">
        <v>25</v>
      </c>
      <c r="B85" s="2" t="s">
        <v>3944</v>
      </c>
      <c r="C85" s="2" t="s">
        <v>1052</v>
      </c>
      <c r="D85" s="2" t="s">
        <v>393</v>
      </c>
      <c r="E85" s="1"/>
      <c r="F85" s="2" t="s">
        <v>392</v>
      </c>
      <c r="G85" s="2" t="s">
        <v>374</v>
      </c>
      <c r="H85" s="2" t="str">
        <f t="shared" si="2"/>
        <v>C</v>
      </c>
      <c r="I85" s="5">
        <v>20.5</v>
      </c>
      <c r="J85" s="5">
        <v>1390</v>
      </c>
      <c r="K85" s="5"/>
      <c r="L85" s="5">
        <v>10</v>
      </c>
      <c r="M85" s="5" t="s">
        <v>571</v>
      </c>
      <c r="N85" s="5">
        <v>35.5</v>
      </c>
      <c r="O85" s="5">
        <v>26</v>
      </c>
      <c r="P85" s="5">
        <v>14.5</v>
      </c>
      <c r="Q85" s="2" t="s">
        <v>18</v>
      </c>
      <c r="R85" s="5">
        <v>145</v>
      </c>
      <c r="S85" s="5">
        <v>10.43</v>
      </c>
      <c r="T85" s="2" t="s">
        <v>382</v>
      </c>
      <c r="U85" s="40" t="s">
        <v>395</v>
      </c>
      <c r="V85" s="5"/>
      <c r="W85" s="6" t="s">
        <v>3146</v>
      </c>
    </row>
    <row r="86" spans="1:23" x14ac:dyDescent="0.15">
      <c r="A86" s="1" t="s">
        <v>25</v>
      </c>
      <c r="B86" s="2" t="s">
        <v>3944</v>
      </c>
      <c r="C86" s="2" t="s">
        <v>1052</v>
      </c>
      <c r="D86" s="1" t="s">
        <v>393</v>
      </c>
      <c r="E86" s="1"/>
      <c r="F86" s="1" t="s">
        <v>374</v>
      </c>
      <c r="G86" s="1" t="s">
        <v>374</v>
      </c>
      <c r="H86" s="2" t="str">
        <f t="shared" si="2"/>
        <v>C</v>
      </c>
      <c r="I86" s="8">
        <v>20.6</v>
      </c>
      <c r="J86" s="8">
        <v>1500</v>
      </c>
      <c r="K86" s="8"/>
      <c r="L86" s="8">
        <v>10</v>
      </c>
      <c r="M86" s="1" t="s">
        <v>571</v>
      </c>
      <c r="N86" s="8">
        <v>35.5</v>
      </c>
      <c r="O86" s="8">
        <v>26</v>
      </c>
      <c r="P86" s="8">
        <v>14.5</v>
      </c>
      <c r="Q86" s="1" t="s">
        <v>18</v>
      </c>
      <c r="R86" s="8">
        <v>145</v>
      </c>
      <c r="S86" s="8">
        <v>9.6669999999999998</v>
      </c>
      <c r="T86" s="1"/>
      <c r="U86" s="1"/>
      <c r="V86" s="8"/>
      <c r="W86" s="6" t="s">
        <v>3581</v>
      </c>
    </row>
    <row r="87" spans="1:23" x14ac:dyDescent="0.15">
      <c r="A87" s="2" t="s">
        <v>25</v>
      </c>
      <c r="B87" s="2" t="s">
        <v>3944</v>
      </c>
      <c r="C87" s="2" t="s">
        <v>1052</v>
      </c>
      <c r="D87" s="2" t="s">
        <v>393</v>
      </c>
      <c r="E87" s="1"/>
      <c r="F87" s="2" t="s">
        <v>59</v>
      </c>
      <c r="G87" s="2">
        <v>-12.67</v>
      </c>
      <c r="H87" s="2" t="str">
        <f t="shared" si="2"/>
        <v>W</v>
      </c>
      <c r="I87" s="5">
        <v>28.9</v>
      </c>
      <c r="J87" s="5">
        <f xml:space="preserve"> 1.7069*(I87^2.2421)</f>
        <v>3218.749149577518</v>
      </c>
      <c r="K87" s="5"/>
      <c r="L87" s="5">
        <v>14</v>
      </c>
      <c r="M87" s="2" t="s">
        <v>571</v>
      </c>
      <c r="N87" s="5">
        <v>35</v>
      </c>
      <c r="O87" s="5">
        <v>26</v>
      </c>
      <c r="P87" s="5">
        <f xml:space="preserve"> (0.543*N87) + (0.891*O87) - 28.409</f>
        <v>13.762000000000008</v>
      </c>
      <c r="Q87" s="2" t="s">
        <v>376</v>
      </c>
      <c r="R87" s="5">
        <v>192.67</v>
      </c>
      <c r="S87" s="5">
        <v>5.99</v>
      </c>
      <c r="T87" s="2" t="s">
        <v>372</v>
      </c>
      <c r="U87" s="40" t="s">
        <v>395</v>
      </c>
      <c r="V87" s="5"/>
      <c r="W87" s="6" t="s">
        <v>2319</v>
      </c>
    </row>
    <row r="88" spans="1:23" x14ac:dyDescent="0.15">
      <c r="A88" s="4" t="s">
        <v>25</v>
      </c>
      <c r="B88" s="2" t="s">
        <v>3944</v>
      </c>
      <c r="C88" s="4" t="s">
        <v>1052</v>
      </c>
      <c r="D88" s="4" t="s">
        <v>393</v>
      </c>
      <c r="E88" s="1"/>
      <c r="F88" s="2" t="s">
        <v>4053</v>
      </c>
      <c r="G88" s="2">
        <v>-12.5</v>
      </c>
      <c r="H88" s="2" t="str">
        <f t="shared" si="2"/>
        <v>W</v>
      </c>
      <c r="I88" s="5"/>
      <c r="J88" s="5"/>
      <c r="K88" s="5">
        <v>5.0999999999999996</v>
      </c>
      <c r="L88" s="5"/>
      <c r="N88" s="5"/>
      <c r="O88" s="5"/>
      <c r="P88" s="5"/>
      <c r="R88" s="5"/>
      <c r="S88" s="5"/>
      <c r="V88" s="5"/>
      <c r="W88" s="6" t="s">
        <v>4054</v>
      </c>
    </row>
    <row r="89" spans="1:23" x14ac:dyDescent="0.15">
      <c r="A89" s="2" t="s">
        <v>25</v>
      </c>
      <c r="B89" s="2" t="s">
        <v>3944</v>
      </c>
      <c r="C89" s="2" t="s">
        <v>1052</v>
      </c>
      <c r="D89" s="2" t="s">
        <v>393</v>
      </c>
      <c r="E89" s="1"/>
      <c r="F89" s="2" t="s">
        <v>374</v>
      </c>
      <c r="G89" s="2" t="s">
        <v>374</v>
      </c>
      <c r="H89" s="2" t="str">
        <f t="shared" si="2"/>
        <v>C</v>
      </c>
      <c r="I89" s="5">
        <f>(EXP((LN(J89/1.7069))/2.2421))</f>
        <v>26.94083487914147</v>
      </c>
      <c r="J89" s="5">
        <v>2750</v>
      </c>
      <c r="K89" s="5"/>
      <c r="L89" s="5">
        <v>20</v>
      </c>
      <c r="M89" s="5" t="s">
        <v>571</v>
      </c>
      <c r="N89" s="5"/>
      <c r="O89" s="5"/>
      <c r="P89" s="5">
        <v>24</v>
      </c>
      <c r="Q89" s="2" t="s">
        <v>18</v>
      </c>
      <c r="R89" s="5">
        <v>480</v>
      </c>
      <c r="S89" s="5">
        <f>(R89/J89)*100</f>
        <v>17.454545454545457</v>
      </c>
      <c r="T89" s="2">
        <v>2</v>
      </c>
      <c r="U89" s="2" t="str">
        <f>IF(T89&lt;=1, "1",IF(AND(T89&gt;1,T89&lt;4), "2-3", "+4"))</f>
        <v>2-3</v>
      </c>
      <c r="V89" s="5">
        <f>S89*T89</f>
        <v>34.909090909090914</v>
      </c>
      <c r="W89" s="6" t="s">
        <v>2318</v>
      </c>
    </row>
    <row r="90" spans="1:23" x14ac:dyDescent="0.15">
      <c r="A90" s="2" t="s">
        <v>25</v>
      </c>
      <c r="B90" s="2" t="s">
        <v>3944</v>
      </c>
      <c r="C90" s="2" t="s">
        <v>1052</v>
      </c>
      <c r="D90" s="2" t="s">
        <v>393</v>
      </c>
      <c r="E90" s="1"/>
      <c r="F90" s="2" t="s">
        <v>843</v>
      </c>
      <c r="G90" s="2">
        <v>-12.26</v>
      </c>
      <c r="H90" s="2" t="str">
        <f t="shared" si="2"/>
        <v>W</v>
      </c>
      <c r="I90" s="5">
        <v>23.69</v>
      </c>
      <c r="J90" s="5">
        <f xml:space="preserve"> 1.7069*(I90^2.2421)</f>
        <v>2061.2012684105066</v>
      </c>
      <c r="K90" s="5">
        <v>6.2</v>
      </c>
      <c r="L90" s="5">
        <v>11.61</v>
      </c>
      <c r="M90" s="5" t="s">
        <v>571</v>
      </c>
      <c r="N90" s="5">
        <v>34.6</v>
      </c>
      <c r="O90" s="5">
        <v>26.9</v>
      </c>
      <c r="P90" s="5">
        <v>14.9</v>
      </c>
      <c r="Q90" s="2" t="s">
        <v>18</v>
      </c>
      <c r="R90" s="5">
        <v>172.99</v>
      </c>
      <c r="S90" s="5">
        <f>(R90/J90)*100</f>
        <v>8.3926787088289103</v>
      </c>
      <c r="T90" s="2">
        <v>3</v>
      </c>
      <c r="U90" s="2" t="str">
        <f>IF(T90&lt;=1, "1",IF(AND(T90&gt;1,T90&lt;4), "2-3", "+4"))</f>
        <v>2-3</v>
      </c>
      <c r="V90" s="5">
        <f>S90*3</f>
        <v>25.178036126486731</v>
      </c>
      <c r="W90" s="6" t="s">
        <v>2202</v>
      </c>
    </row>
    <row r="91" spans="1:23" x14ac:dyDescent="0.15">
      <c r="A91" s="4" t="s">
        <v>25</v>
      </c>
      <c r="B91" s="2" t="s">
        <v>3944</v>
      </c>
      <c r="C91" s="4" t="s">
        <v>1052</v>
      </c>
      <c r="D91" s="4" t="s">
        <v>393</v>
      </c>
      <c r="E91" s="1"/>
      <c r="F91" s="4" t="s">
        <v>42</v>
      </c>
      <c r="G91" s="4">
        <v>-12.43</v>
      </c>
      <c r="H91" s="2" t="str">
        <f t="shared" si="2"/>
        <v>W</v>
      </c>
      <c r="I91" s="33">
        <v>21.05</v>
      </c>
      <c r="J91" s="5">
        <f xml:space="preserve"> 1.7069*(I91^2.2421)</f>
        <v>1581.5087977608009</v>
      </c>
      <c r="K91" s="33">
        <v>6.2</v>
      </c>
      <c r="L91" s="33">
        <v>12.5</v>
      </c>
      <c r="M91" s="4" t="s">
        <v>571</v>
      </c>
      <c r="N91" s="33"/>
      <c r="O91" s="33">
        <v>26.9</v>
      </c>
      <c r="P91" s="33">
        <v>14.9</v>
      </c>
      <c r="Q91" s="2" t="s">
        <v>18</v>
      </c>
      <c r="R91" s="33">
        <v>186.25</v>
      </c>
      <c r="S91" s="5">
        <f>(R91/J91)*100</f>
        <v>11.77672866971745</v>
      </c>
      <c r="T91" s="2">
        <v>3</v>
      </c>
      <c r="U91" s="2" t="str">
        <f>IF(T91&lt;=1, "1",IF(AND(T91&gt;1,T91&lt;4), "2-3", "+4"))</f>
        <v>2-3</v>
      </c>
      <c r="V91" s="5">
        <f>S91*T91</f>
        <v>35.330186009152349</v>
      </c>
      <c r="W91" s="10" t="s">
        <v>1755</v>
      </c>
    </row>
    <row r="92" spans="1:23" x14ac:dyDescent="0.15">
      <c r="A92" s="2" t="s">
        <v>25</v>
      </c>
      <c r="B92" s="2" t="s">
        <v>3944</v>
      </c>
      <c r="C92" s="2" t="s">
        <v>1052</v>
      </c>
      <c r="D92" s="2" t="s">
        <v>393</v>
      </c>
      <c r="E92" s="1"/>
      <c r="F92" s="2" t="s">
        <v>2262</v>
      </c>
      <c r="G92" s="2">
        <v>-9.08</v>
      </c>
      <c r="H92" s="2" t="str">
        <f t="shared" si="2"/>
        <v>W</v>
      </c>
      <c r="I92" s="5">
        <v>25.5</v>
      </c>
      <c r="J92" s="5">
        <v>2500</v>
      </c>
      <c r="K92" s="5"/>
      <c r="L92" s="5">
        <v>11</v>
      </c>
      <c r="M92" s="2" t="s">
        <v>571</v>
      </c>
      <c r="N92" s="5">
        <v>37.700000000000003</v>
      </c>
      <c r="O92" s="5">
        <v>31</v>
      </c>
      <c r="P92" s="5">
        <v>20.5</v>
      </c>
      <c r="Q92" s="2" t="s">
        <v>18</v>
      </c>
      <c r="R92" s="5">
        <v>225.5</v>
      </c>
      <c r="S92" s="5">
        <v>9.02</v>
      </c>
      <c r="V92" s="5"/>
      <c r="W92" s="6" t="s">
        <v>2958</v>
      </c>
    </row>
    <row r="93" spans="1:23" x14ac:dyDescent="0.15">
      <c r="A93" s="2" t="s">
        <v>25</v>
      </c>
      <c r="B93" s="2" t="s">
        <v>3944</v>
      </c>
      <c r="C93" s="2" t="s">
        <v>1052</v>
      </c>
      <c r="D93" s="2" t="s">
        <v>393</v>
      </c>
      <c r="E93" s="1"/>
      <c r="F93" s="2" t="s">
        <v>2935</v>
      </c>
      <c r="G93" s="2">
        <v>-8.5</v>
      </c>
      <c r="H93" s="2" t="str">
        <f t="shared" ref="H93:H123" si="3">IF(G93="captive","C","W")</f>
        <v>W</v>
      </c>
      <c r="I93" s="5">
        <v>26.1</v>
      </c>
      <c r="J93" s="5">
        <f xml:space="preserve"> 1.7069*(I93^2.2421)</f>
        <v>2561.2841378258518</v>
      </c>
      <c r="K93" s="5"/>
      <c r="L93" s="5">
        <v>16.329999999999998</v>
      </c>
      <c r="M93" s="2" t="s">
        <v>571</v>
      </c>
      <c r="N93" s="5">
        <v>34.25</v>
      </c>
      <c r="O93" s="5">
        <v>28.1</v>
      </c>
      <c r="P93" s="5">
        <f xml:space="preserve"> (0.543*N93) + (0.891*O93) - 28.409</f>
        <v>15.225850000000001</v>
      </c>
      <c r="Q93" s="2" t="s">
        <v>376</v>
      </c>
      <c r="R93" s="5">
        <v>248.64</v>
      </c>
      <c r="S93" s="5">
        <v>9.7100000000000009</v>
      </c>
      <c r="T93" s="2">
        <f>MEDIAN(1,2)</f>
        <v>1.5</v>
      </c>
      <c r="U93" s="2" t="str">
        <f>IF(T93&lt;=1, "1",IF(AND(T93&gt;1,T93&lt;4), "2-3", "+4"))</f>
        <v>2-3</v>
      </c>
      <c r="V93" s="5"/>
      <c r="W93" s="6" t="s">
        <v>2958</v>
      </c>
    </row>
    <row r="94" spans="1:23" x14ac:dyDescent="0.15">
      <c r="A94" s="2" t="s">
        <v>25</v>
      </c>
      <c r="B94" s="2" t="s">
        <v>3944</v>
      </c>
      <c r="C94" s="2" t="s">
        <v>1052</v>
      </c>
      <c r="D94" s="2" t="s">
        <v>393</v>
      </c>
      <c r="E94" s="1"/>
      <c r="F94" s="2" t="s">
        <v>392</v>
      </c>
      <c r="G94" s="2">
        <v>-9</v>
      </c>
      <c r="H94" s="2" t="str">
        <f t="shared" si="3"/>
        <v>W</v>
      </c>
      <c r="I94" s="5">
        <v>23</v>
      </c>
      <c r="J94" s="5">
        <f xml:space="preserve"> 1.7069*(I94^2.2421)</f>
        <v>1929.0259035906392</v>
      </c>
      <c r="K94" s="5"/>
      <c r="L94" s="5">
        <v>10.5</v>
      </c>
      <c r="M94" s="5" t="s">
        <v>571</v>
      </c>
      <c r="N94" s="5">
        <v>35.549999999999997</v>
      </c>
      <c r="O94" s="5">
        <v>28.574999999999999</v>
      </c>
      <c r="P94" s="5">
        <v>16.36</v>
      </c>
      <c r="Q94" s="2" t="s">
        <v>18</v>
      </c>
      <c r="R94" s="5">
        <v>171.8</v>
      </c>
      <c r="S94" s="5">
        <f>(R94/J94)*100</f>
        <v>8.9060494045318883</v>
      </c>
      <c r="V94" s="5"/>
      <c r="W94" s="6" t="s">
        <v>41</v>
      </c>
    </row>
    <row r="95" spans="1:23" x14ac:dyDescent="0.15">
      <c r="A95" s="2" t="s">
        <v>25</v>
      </c>
      <c r="B95" s="2" t="s">
        <v>3944</v>
      </c>
      <c r="C95" s="2" t="s">
        <v>1052</v>
      </c>
      <c r="D95" s="2" t="s">
        <v>598</v>
      </c>
      <c r="E95" s="1"/>
      <c r="F95" s="2" t="s">
        <v>842</v>
      </c>
      <c r="G95" s="2">
        <v>-25</v>
      </c>
      <c r="H95" s="2" t="str">
        <f t="shared" si="3"/>
        <v>W</v>
      </c>
      <c r="I95" s="5">
        <v>15.48</v>
      </c>
      <c r="J95" s="5">
        <f xml:space="preserve"> 1.7069*I95^2.2421</f>
        <v>793.95070671198221</v>
      </c>
      <c r="K95" s="5"/>
      <c r="L95" s="5">
        <v>7.5</v>
      </c>
      <c r="M95" s="2" t="s">
        <v>571</v>
      </c>
      <c r="N95" s="5">
        <v>29.05</v>
      </c>
      <c r="O95" s="5">
        <v>18.399999999999999</v>
      </c>
      <c r="P95" s="5">
        <f xml:space="preserve"> (0.249*N95) + (0.698*O95) - 14.434</f>
        <v>5.6426499999999979</v>
      </c>
      <c r="Q95" s="2" t="s">
        <v>376</v>
      </c>
      <c r="R95" s="5">
        <f>P95*L95</f>
        <v>42.319874999999982</v>
      </c>
      <c r="S95" s="5">
        <f>(R95/J95)*100</f>
        <v>5.3302899842813751</v>
      </c>
      <c r="T95" s="2">
        <v>1</v>
      </c>
      <c r="U95" s="2" t="str">
        <f>IF(T95&lt;=1, "1",IF(AND(T95&gt;1,T95&lt;4), "2-3", "+4"))</f>
        <v>1</v>
      </c>
      <c r="V95" s="5">
        <f>S95*T95</f>
        <v>5.3302899842813751</v>
      </c>
      <c r="W95" s="6" t="s">
        <v>2199</v>
      </c>
    </row>
    <row r="96" spans="1:23" x14ac:dyDescent="0.15">
      <c r="A96" s="2" t="s">
        <v>25</v>
      </c>
      <c r="B96" s="2" t="s">
        <v>3944</v>
      </c>
      <c r="C96" s="2" t="s">
        <v>1052</v>
      </c>
      <c r="D96" s="2" t="s">
        <v>665</v>
      </c>
      <c r="E96" s="1"/>
      <c r="F96" s="2" t="s">
        <v>29</v>
      </c>
      <c r="G96" s="2" t="s">
        <v>838</v>
      </c>
      <c r="H96" s="2" t="str">
        <f t="shared" si="3"/>
        <v>W</v>
      </c>
      <c r="I96" s="5"/>
      <c r="J96" s="5"/>
      <c r="K96" s="5"/>
      <c r="L96" s="5"/>
      <c r="M96" s="2" t="s">
        <v>571</v>
      </c>
      <c r="N96" s="5"/>
      <c r="O96" s="5"/>
      <c r="P96" s="5"/>
      <c r="R96" s="5"/>
      <c r="S96" s="5"/>
      <c r="V96" s="5"/>
      <c r="W96" s="6" t="s">
        <v>838</v>
      </c>
    </row>
    <row r="97" spans="1:33" x14ac:dyDescent="0.15">
      <c r="A97" s="2" t="s">
        <v>25</v>
      </c>
      <c r="B97" s="2" t="s">
        <v>3942</v>
      </c>
      <c r="C97" s="2" t="s">
        <v>1056</v>
      </c>
      <c r="D97" s="2" t="s">
        <v>397</v>
      </c>
      <c r="E97" s="1" t="s">
        <v>1057</v>
      </c>
      <c r="F97" s="2" t="s">
        <v>374</v>
      </c>
      <c r="G97" s="2" t="s">
        <v>374</v>
      </c>
      <c r="H97" s="2" t="str">
        <f t="shared" si="3"/>
        <v>C</v>
      </c>
      <c r="I97" s="5">
        <v>27.9</v>
      </c>
      <c r="J97" s="5">
        <v>3512</v>
      </c>
      <c r="K97" s="5"/>
      <c r="L97" s="5">
        <v>12</v>
      </c>
      <c r="M97" s="5" t="s">
        <v>571</v>
      </c>
      <c r="N97" s="5">
        <v>36.83</v>
      </c>
      <c r="O97" s="5">
        <v>36.17</v>
      </c>
      <c r="P97" s="5">
        <v>29.49</v>
      </c>
      <c r="Q97" s="2" t="s">
        <v>18</v>
      </c>
      <c r="R97" s="5">
        <v>353.9</v>
      </c>
      <c r="S97" s="5">
        <v>10.08</v>
      </c>
      <c r="T97" s="11">
        <v>2</v>
      </c>
      <c r="U97" s="2" t="str">
        <f>IF(T97&lt;=1, "1",IF(AND(T97&gt;1,T97&lt;4), "2-3", "+4"))</f>
        <v>2-3</v>
      </c>
      <c r="V97" s="5"/>
      <c r="W97" s="6" t="s">
        <v>2203</v>
      </c>
    </row>
    <row r="98" spans="1:33" x14ac:dyDescent="0.15">
      <c r="A98" s="2" t="s">
        <v>25</v>
      </c>
      <c r="B98" s="2" t="s">
        <v>3942</v>
      </c>
      <c r="C98" s="2" t="s">
        <v>1056</v>
      </c>
      <c r="D98" s="2" t="s">
        <v>397</v>
      </c>
      <c r="E98" s="1" t="s">
        <v>1057</v>
      </c>
      <c r="F98" s="2" t="s">
        <v>374</v>
      </c>
      <c r="G98" s="2" t="s">
        <v>374</v>
      </c>
      <c r="H98" s="2" t="str">
        <f t="shared" si="3"/>
        <v>C</v>
      </c>
      <c r="I98" s="5">
        <v>35.950000000000003</v>
      </c>
      <c r="J98" s="5">
        <v>7350</v>
      </c>
      <c r="K98" s="5"/>
      <c r="L98" s="5">
        <v>7.84</v>
      </c>
      <c r="M98" s="5" t="s">
        <v>571</v>
      </c>
      <c r="N98" s="5">
        <v>39.299999999999997</v>
      </c>
      <c r="O98" s="5">
        <v>38.6</v>
      </c>
      <c r="P98" s="5">
        <v>35.1</v>
      </c>
      <c r="Q98" s="2" t="s">
        <v>18</v>
      </c>
      <c r="R98" s="5">
        <v>299.35000000000002</v>
      </c>
      <c r="S98" s="5">
        <v>5.75</v>
      </c>
      <c r="T98" s="11">
        <v>1</v>
      </c>
      <c r="U98" s="2" t="str">
        <f>IF(T98&lt;=1, "1",IF(AND(T98&gt;1,T98&lt;4), "2-3", "+4"))</f>
        <v>1</v>
      </c>
      <c r="V98" s="5">
        <f>S98*T98</f>
        <v>5.75</v>
      </c>
      <c r="W98" s="6" t="s">
        <v>2189</v>
      </c>
    </row>
    <row r="99" spans="1:33" x14ac:dyDescent="0.15">
      <c r="A99" s="2" t="s">
        <v>25</v>
      </c>
      <c r="B99" s="2" t="s">
        <v>3942</v>
      </c>
      <c r="C99" s="2" t="s">
        <v>1056</v>
      </c>
      <c r="D99" s="2" t="s">
        <v>397</v>
      </c>
      <c r="E99" s="1" t="s">
        <v>1057</v>
      </c>
      <c r="F99" s="2" t="s">
        <v>374</v>
      </c>
      <c r="G99" s="2" t="s">
        <v>374</v>
      </c>
      <c r="H99" s="2" t="str">
        <f t="shared" si="3"/>
        <v>C</v>
      </c>
      <c r="I99" s="5">
        <v>27.5</v>
      </c>
      <c r="J99" s="5">
        <v>5000</v>
      </c>
      <c r="K99" s="5"/>
      <c r="L99" s="5">
        <v>12</v>
      </c>
      <c r="M99" s="2" t="s">
        <v>571</v>
      </c>
      <c r="N99" s="5"/>
      <c r="O99" s="5"/>
      <c r="P99" s="5"/>
      <c r="R99" s="5"/>
      <c r="S99" s="5"/>
      <c r="V99" s="5"/>
      <c r="W99" s="6" t="s">
        <v>3873</v>
      </c>
    </row>
    <row r="100" spans="1:33" x14ac:dyDescent="0.15">
      <c r="A100" s="2" t="s">
        <v>25</v>
      </c>
      <c r="B100" s="2" t="s">
        <v>3942</v>
      </c>
      <c r="C100" s="2" t="s">
        <v>1056</v>
      </c>
      <c r="D100" s="2" t="s">
        <v>397</v>
      </c>
      <c r="E100" s="1" t="s">
        <v>1057</v>
      </c>
      <c r="F100" s="2" t="s">
        <v>26</v>
      </c>
      <c r="G100" s="2" t="s">
        <v>374</v>
      </c>
      <c r="H100" s="2" t="str">
        <f t="shared" si="3"/>
        <v>C</v>
      </c>
      <c r="I100" s="5">
        <v>40</v>
      </c>
      <c r="J100" s="5">
        <f xml:space="preserve"> 0.0272*I100^3.5191</f>
        <v>11813.490041089452</v>
      </c>
      <c r="K100" s="5"/>
      <c r="L100" s="5"/>
      <c r="M100" s="2" t="s">
        <v>571</v>
      </c>
      <c r="N100" s="5"/>
      <c r="O100" s="5">
        <v>36</v>
      </c>
      <c r="P100" s="5"/>
      <c r="Q100" s="2" t="s">
        <v>18</v>
      </c>
      <c r="R100" s="5"/>
      <c r="S100" s="5"/>
      <c r="V100" s="5"/>
      <c r="W100" s="6" t="s">
        <v>3280</v>
      </c>
    </row>
    <row r="101" spans="1:33" x14ac:dyDescent="0.15">
      <c r="A101" s="2" t="s">
        <v>25</v>
      </c>
      <c r="B101" s="2" t="s">
        <v>3942</v>
      </c>
      <c r="C101" s="2" t="s">
        <v>1056</v>
      </c>
      <c r="D101" s="2" t="s">
        <v>397</v>
      </c>
      <c r="E101" s="1" t="s">
        <v>1057</v>
      </c>
      <c r="F101" s="2" t="s">
        <v>602</v>
      </c>
      <c r="G101" s="2" t="s">
        <v>374</v>
      </c>
      <c r="H101" s="2" t="str">
        <f t="shared" si="3"/>
        <v>C</v>
      </c>
      <c r="I101" s="5"/>
      <c r="J101" s="5"/>
      <c r="K101" s="5"/>
      <c r="L101" s="5">
        <v>10.25</v>
      </c>
      <c r="M101" s="2" t="s">
        <v>571</v>
      </c>
      <c r="N101" s="7">
        <f>MEDIAN(35,39)</f>
        <v>37</v>
      </c>
      <c r="O101" s="5"/>
      <c r="P101" s="7">
        <f>MEDIAN(35,40)</f>
        <v>37.5</v>
      </c>
      <c r="Q101" s="2" t="s">
        <v>18</v>
      </c>
      <c r="R101" s="5">
        <f>P101*L101</f>
        <v>384.375</v>
      </c>
      <c r="S101" s="5"/>
      <c r="T101" s="2">
        <v>2</v>
      </c>
      <c r="U101" s="2" t="str">
        <f>IF(T101&lt;=1, "1",IF(AND(T101&gt;1,T101&lt;4), "2-3", "+4"))</f>
        <v>2-3</v>
      </c>
      <c r="V101" s="5"/>
      <c r="W101" s="6" t="s">
        <v>2959</v>
      </c>
    </row>
    <row r="102" spans="1:33" x14ac:dyDescent="0.15">
      <c r="A102" s="2" t="s">
        <v>25</v>
      </c>
      <c r="B102" s="2" t="s">
        <v>3942</v>
      </c>
      <c r="C102" s="2" t="s">
        <v>1056</v>
      </c>
      <c r="D102" s="2" t="s">
        <v>397</v>
      </c>
      <c r="E102" s="1" t="s">
        <v>1057</v>
      </c>
      <c r="F102" s="2" t="s">
        <v>374</v>
      </c>
      <c r="G102" s="2" t="s">
        <v>374</v>
      </c>
      <c r="H102" s="2" t="str">
        <f t="shared" si="3"/>
        <v>C</v>
      </c>
      <c r="I102" s="5">
        <v>42</v>
      </c>
      <c r="J102" s="5">
        <v>11000</v>
      </c>
      <c r="K102" s="5"/>
      <c r="L102" s="5">
        <v>10</v>
      </c>
      <c r="M102" s="2" t="s">
        <v>571</v>
      </c>
      <c r="N102" s="5">
        <v>32</v>
      </c>
      <c r="O102" s="5">
        <v>32</v>
      </c>
      <c r="P102" s="5">
        <v>27</v>
      </c>
      <c r="Q102" s="2" t="s">
        <v>18</v>
      </c>
      <c r="R102" s="5">
        <v>270</v>
      </c>
      <c r="S102" s="5">
        <v>2.4550000000000001</v>
      </c>
      <c r="T102" s="2">
        <v>1</v>
      </c>
      <c r="U102" s="2" t="str">
        <f>IF(T102&lt;=1, "1",IF(AND(T102&gt;1,T102&lt;4), "2-3", "+4"))</f>
        <v>1</v>
      </c>
      <c r="V102" s="5">
        <f>S102*T102</f>
        <v>2.4550000000000001</v>
      </c>
      <c r="W102" s="6" t="s">
        <v>2320</v>
      </c>
    </row>
    <row r="103" spans="1:33" x14ac:dyDescent="0.15">
      <c r="A103" s="2" t="s">
        <v>25</v>
      </c>
      <c r="B103" s="2" t="s">
        <v>3942</v>
      </c>
      <c r="C103" s="2" t="s">
        <v>1056</v>
      </c>
      <c r="D103" s="2" t="s">
        <v>397</v>
      </c>
      <c r="E103" s="1" t="s">
        <v>1057</v>
      </c>
      <c r="F103" s="2" t="s">
        <v>374</v>
      </c>
      <c r="G103" s="2" t="s">
        <v>374</v>
      </c>
      <c r="H103" s="2" t="str">
        <f t="shared" si="3"/>
        <v>C</v>
      </c>
      <c r="I103" s="5"/>
      <c r="J103" s="5"/>
      <c r="K103" s="5"/>
      <c r="L103" s="5"/>
      <c r="M103" s="2" t="s">
        <v>571</v>
      </c>
      <c r="N103" s="5"/>
      <c r="O103" s="5"/>
      <c r="P103" s="5">
        <v>33.799999999999997</v>
      </c>
      <c r="Q103" s="2" t="s">
        <v>18</v>
      </c>
      <c r="R103" s="5"/>
      <c r="S103" s="5"/>
      <c r="V103" s="5"/>
      <c r="W103" s="6" t="s">
        <v>3237</v>
      </c>
    </row>
    <row r="104" spans="1:33" x14ac:dyDescent="0.15">
      <c r="A104" s="2" t="s">
        <v>25</v>
      </c>
      <c r="B104" s="2" t="s">
        <v>3942</v>
      </c>
      <c r="C104" s="2" t="s">
        <v>1056</v>
      </c>
      <c r="D104" s="2" t="s">
        <v>397</v>
      </c>
      <c r="E104" s="1" t="s">
        <v>1057</v>
      </c>
      <c r="F104" s="2" t="s">
        <v>374</v>
      </c>
      <c r="G104" s="2" t="s">
        <v>374</v>
      </c>
      <c r="H104" s="2" t="str">
        <f t="shared" si="3"/>
        <v>C</v>
      </c>
      <c r="I104" s="5">
        <v>30.93</v>
      </c>
      <c r="J104" s="5">
        <v>5400</v>
      </c>
      <c r="K104" s="5"/>
      <c r="L104" s="5">
        <v>10.8</v>
      </c>
      <c r="M104" s="2" t="s">
        <v>571</v>
      </c>
      <c r="N104" s="5">
        <v>37.5</v>
      </c>
      <c r="O104" s="5">
        <v>37.5</v>
      </c>
      <c r="P104" s="5">
        <v>36.299999999999997</v>
      </c>
      <c r="Q104" s="2" t="s">
        <v>18</v>
      </c>
      <c r="R104" s="5">
        <v>392.04</v>
      </c>
      <c r="S104" s="5">
        <v>7.26</v>
      </c>
      <c r="T104" s="2" t="s">
        <v>410</v>
      </c>
      <c r="U104" s="40" t="s">
        <v>395</v>
      </c>
      <c r="V104" s="5"/>
      <c r="W104" s="6" t="s">
        <v>2321</v>
      </c>
    </row>
    <row r="105" spans="1:33" x14ac:dyDescent="0.15">
      <c r="A105" s="1" t="s">
        <v>25</v>
      </c>
      <c r="B105" s="2" t="s">
        <v>3942</v>
      </c>
      <c r="C105" s="2" t="s">
        <v>1056</v>
      </c>
      <c r="D105" s="2" t="s">
        <v>397</v>
      </c>
      <c r="E105" s="1" t="s">
        <v>1057</v>
      </c>
      <c r="F105" s="1" t="s">
        <v>848</v>
      </c>
      <c r="G105" s="1" t="s">
        <v>374</v>
      </c>
      <c r="H105" s="2" t="str">
        <f t="shared" si="3"/>
        <v>C</v>
      </c>
      <c r="I105" s="8">
        <v>29.5</v>
      </c>
      <c r="J105" s="8">
        <v>4045.9</v>
      </c>
      <c r="K105" s="8">
        <v>11</v>
      </c>
      <c r="L105" s="8">
        <v>9.75</v>
      </c>
      <c r="M105" s="2" t="s">
        <v>571</v>
      </c>
      <c r="N105" s="8"/>
      <c r="O105" s="8">
        <v>33.8125</v>
      </c>
      <c r="P105" s="8">
        <v>27.375</v>
      </c>
      <c r="Q105" s="1" t="s">
        <v>18</v>
      </c>
      <c r="R105" s="8">
        <v>266.90600000000001</v>
      </c>
      <c r="S105" s="8">
        <v>6.5970000000000004</v>
      </c>
      <c r="T105" s="1">
        <v>2</v>
      </c>
      <c r="U105" s="2" t="str">
        <f>IF(T105&lt;=1, "1",IF(AND(T105&gt;1,T105&lt;4), "2-3", "+4"))</f>
        <v>2-3</v>
      </c>
      <c r="V105" s="8">
        <v>13.19</v>
      </c>
      <c r="W105" s="6" t="s">
        <v>3582</v>
      </c>
    </row>
    <row r="106" spans="1:33" x14ac:dyDescent="0.15">
      <c r="A106" s="2" t="s">
        <v>25</v>
      </c>
      <c r="B106" s="2" t="s">
        <v>3942</v>
      </c>
      <c r="C106" s="2" t="s">
        <v>1056</v>
      </c>
      <c r="D106" s="2" t="s">
        <v>397</v>
      </c>
      <c r="E106" s="1" t="s">
        <v>1057</v>
      </c>
      <c r="F106" s="2" t="s">
        <v>848</v>
      </c>
      <c r="H106" s="2" t="s">
        <v>3887</v>
      </c>
      <c r="I106" s="5"/>
      <c r="J106" s="5"/>
      <c r="K106" s="7">
        <f>MEDIAN(5,7)</f>
        <v>6</v>
      </c>
      <c r="L106" s="5"/>
      <c r="M106" s="2" t="s">
        <v>571</v>
      </c>
      <c r="N106" s="5"/>
      <c r="O106" s="5"/>
      <c r="P106" s="5"/>
      <c r="R106" s="5"/>
      <c r="S106" s="5"/>
      <c r="V106" s="5"/>
      <c r="W106" s="6" t="s">
        <v>1767</v>
      </c>
    </row>
    <row r="107" spans="1:33" x14ac:dyDescent="0.15">
      <c r="A107" s="1" t="s">
        <v>25</v>
      </c>
      <c r="B107" s="2" t="s">
        <v>3942</v>
      </c>
      <c r="C107" s="2" t="s">
        <v>1056</v>
      </c>
      <c r="D107" s="1" t="s">
        <v>3574</v>
      </c>
      <c r="E107" s="1" t="s">
        <v>3666</v>
      </c>
      <c r="F107" s="1" t="s">
        <v>3575</v>
      </c>
      <c r="G107" s="1" t="s">
        <v>374</v>
      </c>
      <c r="H107" s="2" t="str">
        <f t="shared" si="3"/>
        <v>C</v>
      </c>
      <c r="I107" s="8">
        <v>39</v>
      </c>
      <c r="J107" s="8">
        <v>10806.5</v>
      </c>
      <c r="K107" s="8">
        <v>12</v>
      </c>
      <c r="L107" s="8">
        <v>9.5</v>
      </c>
      <c r="M107" s="2" t="s">
        <v>571</v>
      </c>
      <c r="N107" s="8">
        <v>36</v>
      </c>
      <c r="O107" s="8">
        <v>36</v>
      </c>
      <c r="P107" s="8">
        <v>29.009</v>
      </c>
      <c r="Q107" s="1" t="s">
        <v>376</v>
      </c>
      <c r="R107" s="8">
        <v>275.58999999999997</v>
      </c>
      <c r="S107" s="8">
        <v>2.5499999999999998</v>
      </c>
      <c r="T107" s="1">
        <v>2</v>
      </c>
      <c r="U107" s="2" t="str">
        <f>IF(T107&lt;=1, "1",IF(AND(T107&gt;1,T107&lt;4), "2-3", "+4"))</f>
        <v>2-3</v>
      </c>
      <c r="V107" s="8">
        <v>5.0999999999999996</v>
      </c>
      <c r="W107" s="6" t="s">
        <v>3583</v>
      </c>
    </row>
    <row r="108" spans="1:33" s="1" customFormat="1" x14ac:dyDescent="0.15">
      <c r="A108" s="2" t="s">
        <v>25</v>
      </c>
      <c r="B108" s="2" t="s">
        <v>3944</v>
      </c>
      <c r="C108" s="2" t="s">
        <v>1058</v>
      </c>
      <c r="D108" s="2" t="s">
        <v>666</v>
      </c>
      <c r="F108" s="2" t="s">
        <v>844</v>
      </c>
      <c r="G108" s="2">
        <v>-23.36</v>
      </c>
      <c r="H108" s="2" t="str">
        <f t="shared" si="3"/>
        <v>W</v>
      </c>
      <c r="I108" s="5"/>
      <c r="J108" s="5"/>
      <c r="K108" s="5"/>
      <c r="L108" s="5">
        <v>14</v>
      </c>
      <c r="M108" s="2" t="s">
        <v>571</v>
      </c>
      <c r="N108" s="5">
        <v>52.9</v>
      </c>
      <c r="O108" s="5"/>
      <c r="P108" s="5"/>
      <c r="Q108" s="2"/>
      <c r="R108" s="5"/>
      <c r="S108" s="5"/>
      <c r="T108" s="2">
        <v>1</v>
      </c>
      <c r="U108" s="2" t="str">
        <f>IF(T108&lt;=1, "1",IF(AND(T108&gt;1,T108&lt;4), "2-3", "+4"))</f>
        <v>1</v>
      </c>
      <c r="V108" s="5"/>
      <c r="W108" s="6" t="s">
        <v>2152</v>
      </c>
      <c r="X108" s="2"/>
      <c r="Y108" s="2"/>
      <c r="Z108" s="2"/>
      <c r="AA108" s="2"/>
      <c r="AB108" s="2"/>
      <c r="AC108" s="2"/>
      <c r="AD108" s="2"/>
      <c r="AE108" s="2"/>
      <c r="AF108" s="2"/>
      <c r="AG108" s="2"/>
    </row>
    <row r="109" spans="1:33" x14ac:dyDescent="0.15">
      <c r="A109" s="2" t="s">
        <v>25</v>
      </c>
      <c r="B109" s="2" t="s">
        <v>3944</v>
      </c>
      <c r="C109" s="2" t="s">
        <v>1058</v>
      </c>
      <c r="D109" s="2" t="s">
        <v>666</v>
      </c>
      <c r="E109" s="1"/>
      <c r="F109" s="2" t="s">
        <v>43</v>
      </c>
      <c r="G109" s="2">
        <v>-25.6</v>
      </c>
      <c r="H109" s="2" t="str">
        <f t="shared" si="3"/>
        <v>W</v>
      </c>
      <c r="I109" s="5">
        <f>(EXP((LN(J109/0.00018))/2.91))/10</f>
        <v>37.803027389998761</v>
      </c>
      <c r="J109" s="5">
        <v>5700</v>
      </c>
      <c r="K109" s="5"/>
      <c r="L109" s="5">
        <v>12.5</v>
      </c>
      <c r="M109" s="2" t="s">
        <v>571</v>
      </c>
      <c r="N109" s="5"/>
      <c r="O109" s="5">
        <v>32.299999999999997</v>
      </c>
      <c r="P109" s="5">
        <v>32.5</v>
      </c>
      <c r="Q109" s="2" t="s">
        <v>18</v>
      </c>
      <c r="R109" s="5">
        <f>P109*L109</f>
        <v>406.25</v>
      </c>
      <c r="S109" s="5">
        <f>(R109/J109)*100</f>
        <v>7.1271929824561404</v>
      </c>
      <c r="V109" s="5"/>
      <c r="W109" s="6" t="s">
        <v>2204</v>
      </c>
      <c r="Y109" s="1"/>
      <c r="Z109" s="1"/>
      <c r="AA109" s="1"/>
      <c r="AB109" s="1"/>
      <c r="AC109" s="1"/>
      <c r="AD109" s="1"/>
      <c r="AE109" s="1"/>
      <c r="AF109" s="1"/>
      <c r="AG109" s="1"/>
    </row>
    <row r="110" spans="1:33" x14ac:dyDescent="0.15">
      <c r="A110" s="2" t="s">
        <v>25</v>
      </c>
      <c r="B110" s="2" t="s">
        <v>3944</v>
      </c>
      <c r="C110" s="2" t="s">
        <v>1058</v>
      </c>
      <c r="D110" s="2" t="s">
        <v>667</v>
      </c>
      <c r="E110" s="1"/>
      <c r="F110" s="2" t="s">
        <v>374</v>
      </c>
      <c r="G110" s="2" t="s">
        <v>374</v>
      </c>
      <c r="H110" s="2" t="str">
        <f t="shared" si="3"/>
        <v>C</v>
      </c>
      <c r="I110" s="5">
        <v>41.5</v>
      </c>
      <c r="J110" s="5">
        <v>8011</v>
      </c>
      <c r="K110" s="5"/>
      <c r="L110" s="5">
        <v>19</v>
      </c>
      <c r="M110" s="2" t="s">
        <v>571</v>
      </c>
      <c r="N110" s="5"/>
      <c r="O110" s="5"/>
      <c r="P110" s="5"/>
      <c r="R110" s="5"/>
      <c r="S110" s="5"/>
      <c r="V110" s="5"/>
      <c r="W110" s="6" t="s">
        <v>2205</v>
      </c>
    </row>
    <row r="111" spans="1:33" x14ac:dyDescent="0.15">
      <c r="A111" s="2" t="s">
        <v>25</v>
      </c>
      <c r="B111" s="2" t="s">
        <v>3944</v>
      </c>
      <c r="C111" s="2" t="s">
        <v>1058</v>
      </c>
      <c r="D111" s="2" t="s">
        <v>667</v>
      </c>
      <c r="E111" s="1"/>
      <c r="F111" s="2" t="s">
        <v>45</v>
      </c>
      <c r="G111" s="2">
        <v>-8</v>
      </c>
      <c r="H111" s="2" t="str">
        <f t="shared" si="3"/>
        <v>W</v>
      </c>
      <c r="I111" s="5">
        <f>(38.4+36.7+41.9+42.3+42.2+42.9+40.5+44.5)/8</f>
        <v>41.174999999999997</v>
      </c>
      <c r="J111" s="5">
        <f xml:space="preserve"> 0.00018*(I111*10)^2.91</f>
        <v>7308.9720972411624</v>
      </c>
      <c r="K111" s="5"/>
      <c r="L111" s="5">
        <v>23.5</v>
      </c>
      <c r="M111" s="2" t="s">
        <v>571</v>
      </c>
      <c r="N111" s="5">
        <v>47</v>
      </c>
      <c r="O111" s="5">
        <v>27</v>
      </c>
      <c r="P111" s="5">
        <v>9</v>
      </c>
      <c r="Q111" s="2" t="s">
        <v>18</v>
      </c>
      <c r="R111" s="5">
        <v>206.5</v>
      </c>
      <c r="S111" s="5">
        <f>(R111/J111)*100</f>
        <v>2.8252946823801022</v>
      </c>
      <c r="T111" s="2">
        <v>1</v>
      </c>
      <c r="U111" s="2" t="str">
        <f>IF(T111&lt;=1, "1",IF(AND(T111&gt;1,T111&lt;4), "2-3", "+4"))</f>
        <v>1</v>
      </c>
      <c r="V111" s="5">
        <f>S111*T111</f>
        <v>2.8252946823801022</v>
      </c>
      <c r="W111" s="6" t="s">
        <v>1754</v>
      </c>
    </row>
    <row r="112" spans="1:33" x14ac:dyDescent="0.15">
      <c r="A112" s="2" t="s">
        <v>25</v>
      </c>
      <c r="B112" s="2" t="s">
        <v>3944</v>
      </c>
      <c r="C112" s="2" t="s">
        <v>1058</v>
      </c>
      <c r="D112" s="2" t="s">
        <v>668</v>
      </c>
      <c r="E112" s="1"/>
      <c r="F112" s="2" t="s">
        <v>843</v>
      </c>
      <c r="G112" s="2">
        <v>-14.39</v>
      </c>
      <c r="H112" s="2" t="str">
        <f t="shared" si="3"/>
        <v>W</v>
      </c>
      <c r="I112" s="5">
        <v>30.25</v>
      </c>
      <c r="J112" s="5">
        <f xml:space="preserve"> 0.00018*(I112*10)^2.91</f>
        <v>2979.7742165368682</v>
      </c>
      <c r="K112" s="5">
        <f>MEDIAN(12.1,13.5)</f>
        <v>12.8</v>
      </c>
      <c r="L112" s="5">
        <v>9.7799999999999994</v>
      </c>
      <c r="M112" s="4" t="s">
        <v>571</v>
      </c>
      <c r="N112" s="5">
        <v>51.5</v>
      </c>
      <c r="O112" s="5">
        <v>29.6</v>
      </c>
      <c r="P112" s="5">
        <v>27.35</v>
      </c>
      <c r="Q112" s="2" t="s">
        <v>18</v>
      </c>
      <c r="R112" s="5">
        <v>267.3</v>
      </c>
      <c r="S112" s="5">
        <f>(R112/J112)*100</f>
        <v>8.9704783173357168</v>
      </c>
      <c r="T112" s="2">
        <f>MEDIAN(1,2)</f>
        <v>1.5</v>
      </c>
      <c r="U112" s="2" t="str">
        <f>IF(T112&lt;=1, "1",IF(AND(T112&gt;1,T112&lt;4), "2-3", "+4"))</f>
        <v>2-3</v>
      </c>
      <c r="V112" s="5">
        <f>S112*1.5</f>
        <v>13.455717476003574</v>
      </c>
      <c r="W112" s="6" t="s">
        <v>2206</v>
      </c>
    </row>
    <row r="113" spans="1:24" x14ac:dyDescent="0.15">
      <c r="A113" s="4" t="s">
        <v>25</v>
      </c>
      <c r="B113" s="2" t="s">
        <v>3944</v>
      </c>
      <c r="C113" s="4" t="s">
        <v>1058</v>
      </c>
      <c r="D113" s="4" t="s">
        <v>668</v>
      </c>
      <c r="E113" s="1"/>
      <c r="F113" s="4" t="s">
        <v>42</v>
      </c>
      <c r="G113" s="4">
        <v>-13.82</v>
      </c>
      <c r="H113" s="2" t="str">
        <f t="shared" si="3"/>
        <v>W</v>
      </c>
      <c r="I113" s="5">
        <v>27.65</v>
      </c>
      <c r="J113" s="5">
        <f xml:space="preserve"> 0.00018*(I113*10)^2.91</f>
        <v>2294.063049706514</v>
      </c>
      <c r="K113" s="33">
        <v>13.5</v>
      </c>
      <c r="L113" s="33">
        <v>10</v>
      </c>
      <c r="M113" s="4" t="s">
        <v>571</v>
      </c>
      <c r="N113" s="33"/>
      <c r="O113" s="33">
        <v>29.6</v>
      </c>
      <c r="P113" s="33">
        <v>27.3</v>
      </c>
      <c r="Q113" s="2" t="s">
        <v>18</v>
      </c>
      <c r="R113" s="33">
        <v>273</v>
      </c>
      <c r="S113" s="5">
        <f>(R113/J113)*100</f>
        <v>11.900283213006096</v>
      </c>
      <c r="T113" s="2">
        <v>1</v>
      </c>
      <c r="U113" s="2" t="str">
        <f>IF(T113&lt;=1, "1",IF(AND(T113&gt;1,T113&lt;4), "2-3", "+4"))</f>
        <v>1</v>
      </c>
      <c r="V113" s="5">
        <f>S113*T113</f>
        <v>11.900283213006096</v>
      </c>
      <c r="W113" s="10" t="s">
        <v>1755</v>
      </c>
    </row>
    <row r="114" spans="1:24" x14ac:dyDescent="0.15">
      <c r="A114" s="2" t="s">
        <v>25</v>
      </c>
      <c r="B114" s="2" t="s">
        <v>3944</v>
      </c>
      <c r="C114" s="2" t="s">
        <v>1058</v>
      </c>
      <c r="D114" s="2" t="s">
        <v>668</v>
      </c>
      <c r="E114" s="1"/>
      <c r="F114" s="2" t="s">
        <v>46</v>
      </c>
      <c r="G114" s="2">
        <v>-13</v>
      </c>
      <c r="H114" s="2" t="str">
        <f t="shared" si="3"/>
        <v>W</v>
      </c>
      <c r="I114" s="5">
        <v>27.43</v>
      </c>
      <c r="J114" s="5">
        <f xml:space="preserve"> 0.00018*(I114*10)^2.91</f>
        <v>2241.3496168613547</v>
      </c>
      <c r="K114" s="5"/>
      <c r="L114" s="5">
        <v>8</v>
      </c>
      <c r="M114" s="2" t="s">
        <v>571</v>
      </c>
      <c r="N114" s="5"/>
      <c r="O114" s="5">
        <v>29.6</v>
      </c>
      <c r="P114" s="5">
        <v>27.3</v>
      </c>
      <c r="Q114" s="2" t="s">
        <v>18</v>
      </c>
      <c r="R114" s="5">
        <f>L114*P114</f>
        <v>218.4</v>
      </c>
      <c r="S114" s="5">
        <f>(R114/J114)*100</f>
        <v>9.7441290888760879</v>
      </c>
      <c r="T114" s="2">
        <v>1</v>
      </c>
      <c r="U114" s="2" t="str">
        <f>IF(T114&lt;=1, "1",IF(AND(T114&gt;1,T114&lt;4), "2-3", "+4"))</f>
        <v>1</v>
      </c>
      <c r="V114" s="5">
        <f>S114*T114</f>
        <v>9.7441290888760879</v>
      </c>
      <c r="W114" s="6" t="s">
        <v>1756</v>
      </c>
    </row>
    <row r="115" spans="1:24" x14ac:dyDescent="0.15">
      <c r="A115" s="2" t="s">
        <v>25</v>
      </c>
      <c r="B115" s="2" t="s">
        <v>3944</v>
      </c>
      <c r="C115" s="2" t="s">
        <v>1058</v>
      </c>
      <c r="D115" s="2" t="s">
        <v>668</v>
      </c>
      <c r="E115" s="1"/>
      <c r="F115" s="2" t="s">
        <v>59</v>
      </c>
      <c r="H115" s="2" t="s">
        <v>3887</v>
      </c>
      <c r="I115" s="5"/>
      <c r="J115" s="5"/>
      <c r="K115" s="5"/>
      <c r="L115" s="5"/>
      <c r="M115" s="2" t="s">
        <v>571</v>
      </c>
      <c r="N115" s="5">
        <v>50.2</v>
      </c>
      <c r="O115" s="5">
        <v>28.8</v>
      </c>
      <c r="P115" s="5">
        <v>24.5</v>
      </c>
      <c r="Q115" s="2" t="s">
        <v>18</v>
      </c>
      <c r="R115" s="5"/>
      <c r="S115" s="5"/>
      <c r="V115" s="5"/>
      <c r="W115" s="6" t="s">
        <v>2309</v>
      </c>
    </row>
    <row r="116" spans="1:24" x14ac:dyDescent="0.15">
      <c r="A116" s="2" t="s">
        <v>25</v>
      </c>
      <c r="B116" s="2" t="s">
        <v>3944</v>
      </c>
      <c r="C116" s="1" t="s">
        <v>1058</v>
      </c>
      <c r="D116" s="1" t="s">
        <v>668</v>
      </c>
      <c r="E116" s="1"/>
      <c r="F116" s="2" t="s">
        <v>59</v>
      </c>
      <c r="G116" s="1"/>
      <c r="H116" s="2" t="s">
        <v>3887</v>
      </c>
      <c r="I116" s="8"/>
      <c r="J116" s="8"/>
      <c r="K116" s="8"/>
      <c r="L116" s="8"/>
      <c r="M116" s="2" t="s">
        <v>571</v>
      </c>
      <c r="N116" s="8">
        <v>48.6</v>
      </c>
      <c r="O116" s="8">
        <v>27.7</v>
      </c>
      <c r="P116" s="8">
        <v>15.79</v>
      </c>
      <c r="Q116" s="1" t="s">
        <v>18</v>
      </c>
      <c r="R116" s="8"/>
      <c r="S116" s="8"/>
      <c r="T116" s="1"/>
      <c r="U116" s="1"/>
      <c r="V116" s="8"/>
      <c r="W116" s="6" t="s">
        <v>2850</v>
      </c>
      <c r="X116" s="1"/>
    </row>
    <row r="117" spans="1:24" x14ac:dyDescent="0.15">
      <c r="A117" s="2" t="s">
        <v>25</v>
      </c>
      <c r="B117" s="2" t="s">
        <v>3944</v>
      </c>
      <c r="C117" s="2" t="s">
        <v>1058</v>
      </c>
      <c r="D117" s="2" t="s">
        <v>669</v>
      </c>
      <c r="E117" s="1"/>
      <c r="F117" s="2" t="s">
        <v>29</v>
      </c>
      <c r="H117" s="2" t="s">
        <v>3887</v>
      </c>
      <c r="I117" s="5"/>
      <c r="J117" s="5"/>
      <c r="K117" s="5"/>
      <c r="L117" s="5"/>
      <c r="M117" s="2" t="s">
        <v>571</v>
      </c>
      <c r="N117" s="5"/>
      <c r="O117" s="5"/>
      <c r="P117" s="5"/>
      <c r="R117" s="5"/>
      <c r="S117" s="5"/>
      <c r="V117" s="5"/>
      <c r="W117" s="6" t="s">
        <v>838</v>
      </c>
    </row>
    <row r="118" spans="1:24" x14ac:dyDescent="0.15">
      <c r="A118" s="2" t="s">
        <v>25</v>
      </c>
      <c r="B118" s="2" t="s">
        <v>3944</v>
      </c>
      <c r="C118" s="2" t="s">
        <v>1058</v>
      </c>
      <c r="D118" s="2" t="s">
        <v>670</v>
      </c>
      <c r="E118" s="1"/>
      <c r="F118" s="2" t="s">
        <v>845</v>
      </c>
      <c r="G118" s="2">
        <v>-16.899999999999999</v>
      </c>
      <c r="H118" s="2" t="str">
        <f t="shared" si="3"/>
        <v>W</v>
      </c>
      <c r="I118" s="5">
        <v>26.7</v>
      </c>
      <c r="J118" s="5">
        <f xml:space="preserve"> 0.00018*(I118*10)^2.91</f>
        <v>2072.1456366559642</v>
      </c>
      <c r="K118" s="5"/>
      <c r="L118" s="5">
        <v>9</v>
      </c>
      <c r="M118" s="2" t="s">
        <v>571</v>
      </c>
      <c r="N118" s="5">
        <v>47.5</v>
      </c>
      <c r="O118" s="5">
        <v>27.1</v>
      </c>
      <c r="P118" s="5">
        <v>21.7</v>
      </c>
      <c r="Q118" s="2" t="s">
        <v>18</v>
      </c>
      <c r="R118" s="5">
        <v>195.3</v>
      </c>
      <c r="S118" s="5">
        <f>(R118/J118)*100</f>
        <v>9.4250132107111853</v>
      </c>
      <c r="V118" s="5"/>
      <c r="W118" s="6" t="s">
        <v>2152</v>
      </c>
    </row>
    <row r="119" spans="1:24" x14ac:dyDescent="0.15">
      <c r="A119" s="2" t="s">
        <v>25</v>
      </c>
      <c r="B119" s="2" t="s">
        <v>3944</v>
      </c>
      <c r="C119" s="2" t="s">
        <v>1058</v>
      </c>
      <c r="D119" s="2" t="s">
        <v>670</v>
      </c>
      <c r="E119" s="1"/>
      <c r="F119" s="2" t="s">
        <v>845</v>
      </c>
      <c r="G119" s="2">
        <v>-19.57</v>
      </c>
      <c r="H119" s="2" t="str">
        <f t="shared" si="3"/>
        <v>W</v>
      </c>
      <c r="I119" s="5"/>
      <c r="J119" s="5"/>
      <c r="K119" s="5"/>
      <c r="L119" s="5">
        <v>12</v>
      </c>
      <c r="M119" s="2" t="s">
        <v>571</v>
      </c>
      <c r="N119" s="5">
        <v>45.8</v>
      </c>
      <c r="O119" s="5">
        <v>30</v>
      </c>
      <c r="P119" s="5">
        <f xml:space="preserve"> (0.081*N119) + (0.211*O119) + 8.894</f>
        <v>18.933799999999998</v>
      </c>
      <c r="Q119" s="2" t="s">
        <v>376</v>
      </c>
      <c r="R119" s="5">
        <f>P119*L119</f>
        <v>227.20559999999998</v>
      </c>
      <c r="S119" s="5"/>
      <c r="V119" s="5"/>
      <c r="W119" s="6" t="s">
        <v>2152</v>
      </c>
    </row>
    <row r="120" spans="1:24" x14ac:dyDescent="0.15">
      <c r="A120" s="2" t="s">
        <v>25</v>
      </c>
      <c r="B120" s="2" t="s">
        <v>3944</v>
      </c>
      <c r="C120" s="2" t="s">
        <v>1058</v>
      </c>
      <c r="D120" s="2" t="s">
        <v>670</v>
      </c>
      <c r="E120" s="1"/>
      <c r="F120" s="2" t="s">
        <v>59</v>
      </c>
      <c r="G120" s="2">
        <v>-17.53</v>
      </c>
      <c r="H120" s="2" t="str">
        <f t="shared" si="3"/>
        <v>W</v>
      </c>
      <c r="I120" s="5">
        <v>29.5</v>
      </c>
      <c r="J120" s="5">
        <f xml:space="preserve"> 0.00018*(I120*10)^2.91</f>
        <v>2769.8392911829483</v>
      </c>
      <c r="K120" s="5"/>
      <c r="L120" s="5">
        <v>9</v>
      </c>
      <c r="M120" s="2" t="s">
        <v>571</v>
      </c>
      <c r="N120" s="5"/>
      <c r="O120" s="5"/>
      <c r="P120" s="5"/>
      <c r="R120" s="5"/>
      <c r="S120" s="5"/>
      <c r="V120" s="5"/>
      <c r="W120" s="6" t="s">
        <v>3383</v>
      </c>
    </row>
    <row r="121" spans="1:24" x14ac:dyDescent="0.15">
      <c r="A121" s="2" t="s">
        <v>25</v>
      </c>
      <c r="B121" s="2" t="s">
        <v>3944</v>
      </c>
      <c r="C121" s="2" t="s">
        <v>1058</v>
      </c>
      <c r="D121" s="2" t="s">
        <v>670</v>
      </c>
      <c r="E121" s="1"/>
      <c r="F121" s="2" t="s">
        <v>59</v>
      </c>
      <c r="G121" s="2">
        <v>-17.53</v>
      </c>
      <c r="H121" s="2" t="str">
        <f t="shared" si="3"/>
        <v>W</v>
      </c>
      <c r="I121" s="5"/>
      <c r="J121" s="5"/>
      <c r="K121" s="5"/>
      <c r="L121" s="5">
        <v>7.3</v>
      </c>
      <c r="M121" s="2" t="s">
        <v>571</v>
      </c>
      <c r="N121" s="5"/>
      <c r="O121" s="5"/>
      <c r="P121" s="5"/>
      <c r="R121" s="5"/>
      <c r="S121" s="5"/>
      <c r="V121" s="5"/>
      <c r="W121" s="6" t="s">
        <v>3335</v>
      </c>
    </row>
    <row r="122" spans="1:24" x14ac:dyDescent="0.15">
      <c r="A122" s="2" t="s">
        <v>25</v>
      </c>
      <c r="B122" s="2" t="s">
        <v>3944</v>
      </c>
      <c r="C122" s="2" t="s">
        <v>1058</v>
      </c>
      <c r="D122" s="2" t="s">
        <v>671</v>
      </c>
      <c r="E122" s="1"/>
      <c r="F122" s="2" t="s">
        <v>42</v>
      </c>
      <c r="G122" s="2">
        <v>-18.7</v>
      </c>
      <c r="H122" s="2" t="str">
        <f t="shared" si="3"/>
        <v>W</v>
      </c>
      <c r="I122" s="5"/>
      <c r="J122" s="5"/>
      <c r="K122" s="5"/>
      <c r="L122" s="5">
        <v>10</v>
      </c>
      <c r="M122" s="2" t="s">
        <v>571</v>
      </c>
      <c r="N122" s="5">
        <v>47.6</v>
      </c>
      <c r="O122" s="5">
        <v>28.6</v>
      </c>
      <c r="P122" s="5">
        <v>23.2</v>
      </c>
      <c r="Q122" s="2" t="s">
        <v>18</v>
      </c>
      <c r="R122" s="5">
        <v>232</v>
      </c>
      <c r="S122" s="5"/>
      <c r="V122" s="5"/>
      <c r="W122" s="6" t="s">
        <v>2152</v>
      </c>
    </row>
    <row r="123" spans="1:24" x14ac:dyDescent="0.15">
      <c r="A123" s="2" t="s">
        <v>25</v>
      </c>
      <c r="B123" s="2" t="s">
        <v>3944</v>
      </c>
      <c r="C123" s="2" t="s">
        <v>1058</v>
      </c>
      <c r="D123" s="2" t="s">
        <v>671</v>
      </c>
      <c r="E123" s="1"/>
      <c r="F123" s="2" t="s">
        <v>42</v>
      </c>
      <c r="G123" s="2">
        <v>-17</v>
      </c>
      <c r="H123" s="2" t="str">
        <f t="shared" si="3"/>
        <v>W</v>
      </c>
      <c r="I123" s="5">
        <v>30.21</v>
      </c>
      <c r="J123" s="5">
        <v>2904.8</v>
      </c>
      <c r="K123" s="5"/>
      <c r="L123" s="5">
        <v>7.5</v>
      </c>
      <c r="M123" s="2" t="s">
        <v>571</v>
      </c>
      <c r="N123" s="5"/>
      <c r="O123" s="5">
        <v>28.6</v>
      </c>
      <c r="P123" s="5">
        <v>25</v>
      </c>
      <c r="Q123" s="2" t="s">
        <v>18</v>
      </c>
      <c r="R123" s="5">
        <f>L123*P123</f>
        <v>187.5</v>
      </c>
      <c r="S123" s="5">
        <f>(R123/J123)*100</f>
        <v>6.4548333792343708</v>
      </c>
      <c r="V123" s="5"/>
      <c r="W123" s="6" t="s">
        <v>1881</v>
      </c>
    </row>
    <row r="124" spans="1:24" x14ac:dyDescent="0.15">
      <c r="A124" s="1" t="s">
        <v>25</v>
      </c>
      <c r="B124" s="2" t="s">
        <v>3944</v>
      </c>
      <c r="C124" s="1" t="s">
        <v>1058</v>
      </c>
      <c r="D124" s="1" t="s">
        <v>672</v>
      </c>
      <c r="E124" s="1"/>
      <c r="F124" s="1" t="s">
        <v>392</v>
      </c>
      <c r="G124" s="1">
        <v>-8.44</v>
      </c>
      <c r="H124" s="1" t="s">
        <v>3887</v>
      </c>
      <c r="I124" s="8">
        <v>25.05</v>
      </c>
      <c r="J124" s="8">
        <v>1721</v>
      </c>
      <c r="K124" s="8"/>
      <c r="L124" s="8">
        <v>12</v>
      </c>
      <c r="M124" s="1" t="s">
        <v>571</v>
      </c>
      <c r="N124" s="8"/>
      <c r="O124" s="8"/>
      <c r="P124" s="8"/>
      <c r="Q124" s="1"/>
      <c r="R124" s="8"/>
      <c r="S124" s="8"/>
      <c r="T124" s="1">
        <v>2</v>
      </c>
      <c r="U124" s="2" t="str">
        <f>IF(T124&lt;=1, "1",IF(AND(T124&gt;1,T124&lt;4), "2-3", "+4"))</f>
        <v>2-3</v>
      </c>
      <c r="V124" s="8"/>
      <c r="W124" s="6" t="s">
        <v>1754</v>
      </c>
    </row>
    <row r="125" spans="1:24" x14ac:dyDescent="0.15">
      <c r="A125" s="1" t="s">
        <v>25</v>
      </c>
      <c r="B125" s="2" t="s">
        <v>3944</v>
      </c>
      <c r="C125" s="2" t="s">
        <v>1058</v>
      </c>
      <c r="D125" s="1" t="s">
        <v>673</v>
      </c>
      <c r="E125" s="1"/>
      <c r="F125" s="1" t="s">
        <v>374</v>
      </c>
      <c r="G125" s="1" t="s">
        <v>374</v>
      </c>
      <c r="H125" s="2" t="str">
        <f>IF(G125="captive","C","W")</f>
        <v>C</v>
      </c>
      <c r="I125" s="8">
        <f>MEDIAN(21,25)</f>
        <v>23</v>
      </c>
      <c r="J125" s="8">
        <v>1342.5</v>
      </c>
      <c r="K125" s="8"/>
      <c r="L125" s="8">
        <v>4</v>
      </c>
      <c r="M125" s="2" t="s">
        <v>571</v>
      </c>
      <c r="N125" s="8">
        <f>MEDIAN(46,52)</f>
        <v>49</v>
      </c>
      <c r="O125" s="8">
        <f>MEDIAN(20,25)</f>
        <v>22.5</v>
      </c>
      <c r="P125" s="8">
        <v>13.5</v>
      </c>
      <c r="Q125" s="1" t="s">
        <v>376</v>
      </c>
      <c r="R125" s="8">
        <v>54</v>
      </c>
      <c r="S125" s="5">
        <f>(R125/J125)*100</f>
        <v>4.022346368715084</v>
      </c>
      <c r="T125" s="1"/>
      <c r="U125" s="1"/>
      <c r="V125" s="8"/>
      <c r="W125" s="6" t="s">
        <v>3606</v>
      </c>
    </row>
    <row r="126" spans="1:24" x14ac:dyDescent="0.15">
      <c r="A126" s="2" t="s">
        <v>25</v>
      </c>
      <c r="B126" s="2" t="s">
        <v>3944</v>
      </c>
      <c r="C126" s="2" t="s">
        <v>1058</v>
      </c>
      <c r="D126" s="2" t="s">
        <v>673</v>
      </c>
      <c r="E126" s="1"/>
      <c r="F126" s="2" t="s">
        <v>29</v>
      </c>
      <c r="H126" s="2" t="s">
        <v>3887</v>
      </c>
      <c r="I126" s="5"/>
      <c r="J126" s="5"/>
      <c r="K126" s="5"/>
      <c r="L126" s="5">
        <v>4</v>
      </c>
      <c r="M126" s="2" t="s">
        <v>571</v>
      </c>
      <c r="N126" s="5"/>
      <c r="O126" s="5"/>
      <c r="P126" s="5"/>
      <c r="R126" s="5"/>
      <c r="S126" s="5"/>
      <c r="V126" s="5"/>
      <c r="W126" s="6" t="s">
        <v>3566</v>
      </c>
    </row>
    <row r="127" spans="1:24" x14ac:dyDescent="0.15">
      <c r="A127" s="2" t="s">
        <v>25</v>
      </c>
      <c r="B127" s="2" t="s">
        <v>3944</v>
      </c>
      <c r="C127" s="2" t="s">
        <v>1058</v>
      </c>
      <c r="D127" s="2" t="s">
        <v>674</v>
      </c>
      <c r="E127" s="1"/>
      <c r="F127" s="2" t="s">
        <v>29</v>
      </c>
      <c r="H127" s="2" t="s">
        <v>3887</v>
      </c>
      <c r="I127" s="5"/>
      <c r="J127" s="5"/>
      <c r="K127" s="5"/>
      <c r="L127" s="7">
        <f>MEDIAN(8,11)</f>
        <v>9.5</v>
      </c>
      <c r="M127" s="2" t="s">
        <v>571</v>
      </c>
      <c r="N127" s="5"/>
      <c r="O127" s="5"/>
      <c r="P127" s="5"/>
      <c r="R127" s="5"/>
      <c r="S127" s="5"/>
      <c r="V127" s="5"/>
      <c r="W127" s="6" t="s">
        <v>3566</v>
      </c>
    </row>
    <row r="128" spans="1:24" x14ac:dyDescent="0.15">
      <c r="A128" s="2" t="s">
        <v>25</v>
      </c>
      <c r="B128" s="2" t="s">
        <v>3944</v>
      </c>
      <c r="C128" s="2" t="s">
        <v>3468</v>
      </c>
      <c r="D128" s="2" t="s">
        <v>675</v>
      </c>
      <c r="E128" s="1"/>
      <c r="F128" s="2" t="s">
        <v>844</v>
      </c>
      <c r="H128" s="2" t="s">
        <v>3887</v>
      </c>
      <c r="I128" s="5"/>
      <c r="J128" s="5"/>
      <c r="K128" s="5"/>
      <c r="L128" s="5">
        <v>12.2</v>
      </c>
      <c r="M128" s="2" t="s">
        <v>571</v>
      </c>
      <c r="N128" s="5">
        <v>35</v>
      </c>
      <c r="O128" s="5">
        <v>22.6</v>
      </c>
      <c r="P128" s="5">
        <v>11.6</v>
      </c>
      <c r="Q128" s="2" t="s">
        <v>18</v>
      </c>
      <c r="R128" s="5">
        <v>141.52000000000001</v>
      </c>
      <c r="S128" s="5"/>
      <c r="V128" s="5"/>
      <c r="W128" s="6" t="s">
        <v>2152</v>
      </c>
    </row>
    <row r="129" spans="1:23" x14ac:dyDescent="0.15">
      <c r="A129" s="2" t="s">
        <v>25</v>
      </c>
      <c r="B129" s="2" t="s">
        <v>3944</v>
      </c>
      <c r="C129" s="2" t="s">
        <v>3468</v>
      </c>
      <c r="D129" s="2" t="s">
        <v>675</v>
      </c>
      <c r="E129" s="1"/>
      <c r="F129" s="2" t="s">
        <v>48</v>
      </c>
      <c r="G129" s="2">
        <v>-26</v>
      </c>
      <c r="H129" s="2" t="str">
        <f>IF(G129="captive","C","W")</f>
        <v>W</v>
      </c>
      <c r="I129" s="5"/>
      <c r="J129" s="5"/>
      <c r="K129" s="5"/>
      <c r="L129" s="5">
        <v>14.9</v>
      </c>
      <c r="M129" s="2" t="s">
        <v>571</v>
      </c>
      <c r="N129" s="5"/>
      <c r="O129" s="5"/>
      <c r="P129" s="5"/>
      <c r="R129" s="5"/>
      <c r="S129" s="5"/>
      <c r="V129" s="5"/>
      <c r="W129" s="6" t="s">
        <v>2207</v>
      </c>
    </row>
    <row r="130" spans="1:23" x14ac:dyDescent="0.15">
      <c r="A130" s="2" t="s">
        <v>25</v>
      </c>
      <c r="B130" s="2" t="s">
        <v>3944</v>
      </c>
      <c r="C130" s="2" t="s">
        <v>1059</v>
      </c>
      <c r="D130" s="2" t="s">
        <v>4021</v>
      </c>
      <c r="E130" s="1"/>
      <c r="F130" s="4"/>
      <c r="G130" s="4"/>
      <c r="H130" s="2" t="s">
        <v>3887</v>
      </c>
      <c r="I130" s="33"/>
      <c r="J130" s="5"/>
      <c r="K130" s="33"/>
      <c r="L130" s="33"/>
      <c r="M130" s="2" t="s">
        <v>571</v>
      </c>
      <c r="N130" s="33"/>
      <c r="O130" s="5"/>
      <c r="P130" s="5"/>
      <c r="R130" s="5"/>
      <c r="S130" s="5"/>
      <c r="V130" s="5"/>
      <c r="W130" s="10" t="s">
        <v>838</v>
      </c>
    </row>
    <row r="131" spans="1:23" x14ac:dyDescent="0.15">
      <c r="A131" s="2" t="s">
        <v>25</v>
      </c>
      <c r="B131" s="2" t="s">
        <v>3944</v>
      </c>
      <c r="C131" s="2" t="s">
        <v>1059</v>
      </c>
      <c r="D131" s="2" t="s">
        <v>599</v>
      </c>
      <c r="E131" s="1" t="s">
        <v>3675</v>
      </c>
      <c r="F131" s="2" t="s">
        <v>374</v>
      </c>
      <c r="G131" s="2" t="s">
        <v>374</v>
      </c>
      <c r="H131" s="2" t="str">
        <f t="shared" ref="H131:H159" si="4">IF(G131="captive","C","W")</f>
        <v>C</v>
      </c>
      <c r="I131" s="5">
        <v>18.850000000000001</v>
      </c>
      <c r="J131" s="5">
        <v>772</v>
      </c>
      <c r="K131" s="5"/>
      <c r="L131" s="5">
        <v>10.32</v>
      </c>
      <c r="M131" s="5" t="s">
        <v>571</v>
      </c>
      <c r="N131" s="5"/>
      <c r="O131" s="5"/>
      <c r="P131" s="5"/>
      <c r="R131" s="5"/>
      <c r="S131" s="5"/>
      <c r="V131" s="5"/>
      <c r="W131" s="6" t="s">
        <v>2208</v>
      </c>
    </row>
    <row r="132" spans="1:23" x14ac:dyDescent="0.15">
      <c r="A132" s="2" t="s">
        <v>25</v>
      </c>
      <c r="B132" s="2" t="s">
        <v>3944</v>
      </c>
      <c r="C132" s="2" t="s">
        <v>1059</v>
      </c>
      <c r="D132" s="2" t="s">
        <v>599</v>
      </c>
      <c r="E132" s="1" t="s">
        <v>3675</v>
      </c>
      <c r="F132" s="2" t="s">
        <v>59</v>
      </c>
      <c r="G132" s="2" t="s">
        <v>374</v>
      </c>
      <c r="H132" s="2" t="str">
        <f t="shared" si="4"/>
        <v>C</v>
      </c>
      <c r="I132" s="5"/>
      <c r="J132" s="5"/>
      <c r="K132" s="5"/>
      <c r="L132" s="5">
        <v>19</v>
      </c>
      <c r="M132" s="2" t="s">
        <v>571</v>
      </c>
      <c r="N132" s="5">
        <v>37</v>
      </c>
      <c r="O132" s="5">
        <v>23</v>
      </c>
      <c r="P132" s="5">
        <v>9.75</v>
      </c>
      <c r="Q132" s="2" t="s">
        <v>18</v>
      </c>
      <c r="R132" s="5">
        <v>185.25</v>
      </c>
      <c r="S132" s="5"/>
      <c r="V132" s="5"/>
      <c r="W132" s="6" t="s">
        <v>3382</v>
      </c>
    </row>
    <row r="133" spans="1:23" x14ac:dyDescent="0.15">
      <c r="A133" s="2" t="s">
        <v>25</v>
      </c>
      <c r="B133" s="2" t="s">
        <v>3944</v>
      </c>
      <c r="C133" s="2" t="s">
        <v>1059</v>
      </c>
      <c r="D133" s="2" t="s">
        <v>599</v>
      </c>
      <c r="E133" s="1" t="s">
        <v>3470</v>
      </c>
      <c r="F133" s="2" t="s">
        <v>59</v>
      </c>
      <c r="G133" s="2" t="s">
        <v>374</v>
      </c>
      <c r="H133" s="2" t="str">
        <f t="shared" si="4"/>
        <v>C</v>
      </c>
      <c r="I133" s="5"/>
      <c r="J133" s="5"/>
      <c r="K133" s="5"/>
      <c r="L133" s="5">
        <v>16</v>
      </c>
      <c r="M133" s="2" t="s">
        <v>571</v>
      </c>
      <c r="N133" s="5">
        <v>35</v>
      </c>
      <c r="O133" s="5">
        <v>20</v>
      </c>
      <c r="P133" s="5">
        <v>7.1</v>
      </c>
      <c r="Q133" s="2" t="s">
        <v>18</v>
      </c>
      <c r="R133" s="5">
        <v>113.6</v>
      </c>
      <c r="S133" s="5"/>
      <c r="V133" s="5"/>
      <c r="W133" s="6" t="s">
        <v>3382</v>
      </c>
    </row>
    <row r="134" spans="1:23" x14ac:dyDescent="0.15">
      <c r="A134" s="2" t="s">
        <v>25</v>
      </c>
      <c r="B134" s="2" t="s">
        <v>3944</v>
      </c>
      <c r="C134" s="2" t="s">
        <v>1059</v>
      </c>
      <c r="D134" s="2" t="s">
        <v>599</v>
      </c>
      <c r="E134" s="1" t="s">
        <v>3470</v>
      </c>
      <c r="F134" s="2" t="s">
        <v>374</v>
      </c>
      <c r="G134" s="2" t="s">
        <v>374</v>
      </c>
      <c r="H134" s="2" t="str">
        <f t="shared" si="4"/>
        <v>C</v>
      </c>
      <c r="I134" s="5">
        <v>28.4</v>
      </c>
      <c r="J134" s="5">
        <v>2480</v>
      </c>
      <c r="K134" s="5"/>
      <c r="L134" s="5">
        <v>17</v>
      </c>
      <c r="M134" s="2" t="s">
        <v>571</v>
      </c>
      <c r="N134" s="5">
        <v>35</v>
      </c>
      <c r="O134" s="5">
        <v>20</v>
      </c>
      <c r="P134" s="5">
        <v>7.9</v>
      </c>
      <c r="Q134" s="2" t="s">
        <v>18</v>
      </c>
      <c r="R134" s="5">
        <v>134.30000000000001</v>
      </c>
      <c r="S134" s="5">
        <v>5.42</v>
      </c>
      <c r="T134" s="9">
        <f>MEDIAN(2,4)</f>
        <v>3</v>
      </c>
      <c r="U134" s="2" t="str">
        <f>IF(T134&lt;=1, "1",IF(AND(T134&gt;1,T134&lt;4), "2-3", "+4"))</f>
        <v>2-3</v>
      </c>
      <c r="V134" s="5">
        <f>S134*T134</f>
        <v>16.259999999999998</v>
      </c>
      <c r="W134" s="6" t="s">
        <v>2153</v>
      </c>
    </row>
    <row r="135" spans="1:23" x14ac:dyDescent="0.15">
      <c r="A135" s="2" t="s">
        <v>25</v>
      </c>
      <c r="B135" s="2" t="s">
        <v>3944</v>
      </c>
      <c r="C135" s="2" t="s">
        <v>1059</v>
      </c>
      <c r="D135" s="2" t="s">
        <v>599</v>
      </c>
      <c r="E135" s="1" t="s">
        <v>3675</v>
      </c>
      <c r="F135" s="2" t="s">
        <v>49</v>
      </c>
      <c r="G135" s="2">
        <v>-29.2</v>
      </c>
      <c r="H135" s="2" t="str">
        <f t="shared" si="4"/>
        <v>W</v>
      </c>
      <c r="I135" s="5">
        <v>22.33</v>
      </c>
      <c r="J135" s="5">
        <v>1125</v>
      </c>
      <c r="K135" s="5"/>
      <c r="L135" s="5">
        <v>16.100000000000001</v>
      </c>
      <c r="M135" s="2" t="s">
        <v>571</v>
      </c>
      <c r="N135" s="5"/>
      <c r="O135" s="5"/>
      <c r="P135" s="5"/>
      <c r="R135" s="5"/>
      <c r="S135" s="5"/>
      <c r="V135" s="5"/>
      <c r="W135" s="6" t="s">
        <v>1758</v>
      </c>
    </row>
    <row r="136" spans="1:23" x14ac:dyDescent="0.15">
      <c r="A136" s="2" t="s">
        <v>25</v>
      </c>
      <c r="B136" s="2" t="s">
        <v>3944</v>
      </c>
      <c r="C136" s="2" t="s">
        <v>1059</v>
      </c>
      <c r="D136" s="2" t="s">
        <v>599</v>
      </c>
      <c r="E136" s="1" t="s">
        <v>3675</v>
      </c>
      <c r="F136" s="2" t="s">
        <v>52</v>
      </c>
      <c r="G136" s="2">
        <v>-27</v>
      </c>
      <c r="H136" s="2" t="str">
        <f t="shared" si="4"/>
        <v>W</v>
      </c>
      <c r="I136" s="5"/>
      <c r="J136" s="5"/>
      <c r="K136" s="5"/>
      <c r="L136" s="5">
        <v>18.3</v>
      </c>
      <c r="M136" s="2" t="s">
        <v>571</v>
      </c>
      <c r="N136" s="5">
        <v>31.9</v>
      </c>
      <c r="O136" s="5">
        <v>19.899999999999999</v>
      </c>
      <c r="P136" s="5">
        <v>7.67</v>
      </c>
      <c r="Q136" s="2" t="s">
        <v>18</v>
      </c>
      <c r="R136" s="5">
        <f>P136*L136</f>
        <v>140.36099999999999</v>
      </c>
      <c r="S136" s="5"/>
      <c r="V136" s="5"/>
      <c r="W136" s="6" t="s">
        <v>1753</v>
      </c>
    </row>
    <row r="137" spans="1:23" x14ac:dyDescent="0.15">
      <c r="A137" s="2" t="s">
        <v>25</v>
      </c>
      <c r="B137" s="2" t="s">
        <v>3944</v>
      </c>
      <c r="C137" s="2" t="s">
        <v>1059</v>
      </c>
      <c r="D137" s="2" t="s">
        <v>599</v>
      </c>
      <c r="E137" s="1" t="s">
        <v>3470</v>
      </c>
      <c r="F137" s="2" t="s">
        <v>35</v>
      </c>
      <c r="G137" s="2">
        <v>-19.260000000000002</v>
      </c>
      <c r="H137" s="2" t="str">
        <f t="shared" si="4"/>
        <v>W</v>
      </c>
      <c r="I137" s="5"/>
      <c r="J137" s="5"/>
      <c r="K137" s="5"/>
      <c r="L137" s="5">
        <v>16</v>
      </c>
      <c r="M137" s="5" t="s">
        <v>571</v>
      </c>
      <c r="N137" s="5">
        <v>35.5</v>
      </c>
      <c r="O137" s="5">
        <v>22</v>
      </c>
      <c r="P137" s="5">
        <f xml:space="preserve"> (0.12*N137) + (0.482*O137) - 6.675</f>
        <v>8.1890000000000001</v>
      </c>
      <c r="Q137" s="2" t="s">
        <v>376</v>
      </c>
      <c r="R137" s="5">
        <f>P137*L137</f>
        <v>131.024</v>
      </c>
      <c r="S137" s="5"/>
      <c r="V137" s="5"/>
      <c r="W137" s="6" t="s">
        <v>2152</v>
      </c>
    </row>
    <row r="138" spans="1:23" x14ac:dyDescent="0.15">
      <c r="A138" s="2" t="s">
        <v>25</v>
      </c>
      <c r="B138" s="2" t="s">
        <v>3944</v>
      </c>
      <c r="C138" s="2" t="s">
        <v>1059</v>
      </c>
      <c r="D138" s="2" t="s">
        <v>599</v>
      </c>
      <c r="E138" s="1" t="s">
        <v>3469</v>
      </c>
      <c r="F138" s="2" t="s">
        <v>35</v>
      </c>
      <c r="G138" s="2">
        <v>-34</v>
      </c>
      <c r="H138" s="2" t="str">
        <f t="shared" si="4"/>
        <v>W</v>
      </c>
      <c r="I138" s="5">
        <v>19.8</v>
      </c>
      <c r="J138" s="5">
        <f>0.1*I138^3</f>
        <v>776.2392000000001</v>
      </c>
      <c r="K138" s="5"/>
      <c r="L138" s="5">
        <v>18</v>
      </c>
      <c r="M138" s="2" t="s">
        <v>571</v>
      </c>
      <c r="N138" s="5">
        <v>28.5</v>
      </c>
      <c r="O138" s="5">
        <v>17.5</v>
      </c>
      <c r="P138" s="5">
        <f xml:space="preserve"> (0.12*N138) + (0.482*O138) - 6.675</f>
        <v>5.1800000000000006</v>
      </c>
      <c r="Q138" s="2" t="s">
        <v>376</v>
      </c>
      <c r="R138" s="5">
        <f>P138*L138</f>
        <v>93.240000000000009</v>
      </c>
      <c r="S138" s="5">
        <f>(R138/J138)*100</f>
        <v>12.011761323056088</v>
      </c>
      <c r="V138" s="5"/>
      <c r="W138" s="6" t="s">
        <v>2152</v>
      </c>
    </row>
    <row r="139" spans="1:23" x14ac:dyDescent="0.15">
      <c r="A139" s="2" t="s">
        <v>25</v>
      </c>
      <c r="B139" s="2" t="s">
        <v>3944</v>
      </c>
      <c r="C139" s="2" t="s">
        <v>1059</v>
      </c>
      <c r="D139" s="2" t="s">
        <v>599</v>
      </c>
      <c r="E139" s="1" t="s">
        <v>3675</v>
      </c>
      <c r="F139" s="2" t="s">
        <v>35</v>
      </c>
      <c r="G139" s="2">
        <v>-35.81</v>
      </c>
      <c r="H139" s="2" t="str">
        <f t="shared" si="4"/>
        <v>W</v>
      </c>
      <c r="I139" s="5">
        <v>26.78</v>
      </c>
      <c r="J139" s="5">
        <f>0.1*I139^3</f>
        <v>1920.5769752000001</v>
      </c>
      <c r="K139" s="5">
        <f>MEDIAN(6,8)</f>
        <v>7</v>
      </c>
      <c r="L139" s="5">
        <v>18.2</v>
      </c>
      <c r="M139" s="5" t="s">
        <v>571</v>
      </c>
      <c r="N139" s="5">
        <v>37</v>
      </c>
      <c r="O139" s="5">
        <v>17.21</v>
      </c>
      <c r="P139" s="5">
        <v>6.66</v>
      </c>
      <c r="Q139" s="2" t="s">
        <v>376</v>
      </c>
      <c r="R139" s="5">
        <f>P139*L139</f>
        <v>121.212</v>
      </c>
      <c r="S139" s="5">
        <f>(R139/J139)*100</f>
        <v>6.3112284258941278</v>
      </c>
      <c r="T139" s="2">
        <v>2</v>
      </c>
      <c r="U139" s="2" t="str">
        <f>IF(T139&lt;=1, "1",IF(AND(T139&gt;1,T139&lt;4), "2-3", "+4"))</f>
        <v>2-3</v>
      </c>
      <c r="V139" s="5">
        <f>S139*T139</f>
        <v>12.622456851788256</v>
      </c>
      <c r="W139" s="6" t="s">
        <v>2190</v>
      </c>
    </row>
    <row r="140" spans="1:23" x14ac:dyDescent="0.15">
      <c r="A140" s="2" t="s">
        <v>25</v>
      </c>
      <c r="B140" s="2" t="s">
        <v>3944</v>
      </c>
      <c r="C140" s="2" t="s">
        <v>1059</v>
      </c>
      <c r="D140" s="2" t="s">
        <v>599</v>
      </c>
      <c r="E140" s="1" t="s">
        <v>3675</v>
      </c>
      <c r="F140" s="2" t="s">
        <v>374</v>
      </c>
      <c r="G140" s="2" t="s">
        <v>374</v>
      </c>
      <c r="H140" s="2" t="str">
        <f t="shared" si="4"/>
        <v>C</v>
      </c>
      <c r="I140" s="5">
        <v>29</v>
      </c>
      <c r="J140" s="5">
        <v>2438.9</v>
      </c>
      <c r="K140" s="5"/>
      <c r="L140" s="5"/>
      <c r="M140" s="2" t="s">
        <v>571</v>
      </c>
      <c r="N140" s="5">
        <v>34.5</v>
      </c>
      <c r="O140" s="5">
        <v>21.2</v>
      </c>
      <c r="P140" s="5"/>
      <c r="R140" s="5"/>
      <c r="S140" s="5"/>
      <c r="V140" s="5"/>
      <c r="W140" s="6" t="s">
        <v>3281</v>
      </c>
    </row>
    <row r="141" spans="1:23" x14ac:dyDescent="0.15">
      <c r="A141" s="2" t="s">
        <v>25</v>
      </c>
      <c r="B141" s="2" t="s">
        <v>3944</v>
      </c>
      <c r="C141" s="2" t="s">
        <v>1059</v>
      </c>
      <c r="D141" s="2" t="s">
        <v>599</v>
      </c>
      <c r="E141" s="1" t="s">
        <v>3675</v>
      </c>
      <c r="F141" s="2" t="s">
        <v>50</v>
      </c>
      <c r="G141" s="2">
        <v>-25</v>
      </c>
      <c r="H141" s="2" t="str">
        <f t="shared" si="4"/>
        <v>W</v>
      </c>
      <c r="I141" s="5">
        <v>18.2</v>
      </c>
      <c r="J141" s="5">
        <f>0.1*I141^3</f>
        <v>602.85679999999991</v>
      </c>
      <c r="K141" s="5"/>
      <c r="L141" s="5">
        <v>6.18</v>
      </c>
      <c r="M141" s="2" t="s">
        <v>571</v>
      </c>
      <c r="N141" s="5">
        <v>33.700000000000003</v>
      </c>
      <c r="O141" s="5">
        <v>19.3</v>
      </c>
      <c r="P141" s="5">
        <v>7.44</v>
      </c>
      <c r="Q141" s="2" t="s">
        <v>18</v>
      </c>
      <c r="R141" s="5">
        <v>45.98</v>
      </c>
      <c r="S141" s="5">
        <f>(R141/J141)*100</f>
        <v>7.6270185556503636</v>
      </c>
      <c r="T141" s="2">
        <v>3</v>
      </c>
      <c r="U141" s="2" t="str">
        <f>IF(T141&lt;=1, "1",IF(AND(T141&gt;1,T141&lt;4), "2-3", "+4"))</f>
        <v>2-3</v>
      </c>
      <c r="V141" s="5">
        <f>S141*T141</f>
        <v>22.881055666951092</v>
      </c>
      <c r="W141" s="6" t="s">
        <v>3459</v>
      </c>
    </row>
    <row r="142" spans="1:23" x14ac:dyDescent="0.15">
      <c r="A142" s="2" t="s">
        <v>25</v>
      </c>
      <c r="B142" s="2" t="s">
        <v>3944</v>
      </c>
      <c r="C142" s="2" t="s">
        <v>1059</v>
      </c>
      <c r="D142" s="2" t="s">
        <v>599</v>
      </c>
      <c r="E142" s="1" t="s">
        <v>3675</v>
      </c>
      <c r="F142" s="2" t="s">
        <v>34</v>
      </c>
      <c r="G142" s="2">
        <v>-36</v>
      </c>
      <c r="H142" s="2" t="str">
        <f t="shared" si="4"/>
        <v>W</v>
      </c>
      <c r="I142" s="5"/>
      <c r="J142" s="5"/>
      <c r="K142" s="5"/>
      <c r="L142" s="5">
        <v>15.3</v>
      </c>
      <c r="M142" s="5" t="s">
        <v>571</v>
      </c>
      <c r="N142" s="5">
        <v>33</v>
      </c>
      <c r="O142" s="5">
        <v>23</v>
      </c>
      <c r="P142" s="5">
        <v>10.5</v>
      </c>
      <c r="Q142" s="2" t="s">
        <v>18</v>
      </c>
      <c r="R142" s="5">
        <f>P142*L142</f>
        <v>160.65</v>
      </c>
      <c r="S142" s="5"/>
      <c r="V142" s="5"/>
      <c r="W142" s="6" t="s">
        <v>1882</v>
      </c>
    </row>
    <row r="143" spans="1:23" x14ac:dyDescent="0.15">
      <c r="A143" s="2" t="s">
        <v>25</v>
      </c>
      <c r="B143" s="2" t="s">
        <v>3944</v>
      </c>
      <c r="C143" s="2" t="s">
        <v>1059</v>
      </c>
      <c r="D143" s="2" t="s">
        <v>599</v>
      </c>
      <c r="E143" s="1" t="s">
        <v>3675</v>
      </c>
      <c r="F143" s="2" t="s">
        <v>35</v>
      </c>
      <c r="G143" s="2">
        <v>-36.799999999999997</v>
      </c>
      <c r="H143" s="2" t="str">
        <f t="shared" si="4"/>
        <v>W</v>
      </c>
      <c r="I143" s="5"/>
      <c r="J143" s="5"/>
      <c r="K143" s="5"/>
      <c r="L143" s="5">
        <v>24.6</v>
      </c>
      <c r="M143" s="2" t="s">
        <v>571</v>
      </c>
      <c r="N143" s="5">
        <v>34.25</v>
      </c>
      <c r="O143" s="5">
        <v>21.71</v>
      </c>
      <c r="P143" s="5">
        <v>7.9</v>
      </c>
      <c r="Q143" s="2" t="s">
        <v>376</v>
      </c>
      <c r="R143" s="5">
        <v>194.32</v>
      </c>
      <c r="S143" s="5"/>
      <c r="V143" s="5"/>
      <c r="W143" s="6" t="s">
        <v>2322</v>
      </c>
    </row>
    <row r="144" spans="1:23" x14ac:dyDescent="0.15">
      <c r="A144" s="2" t="s">
        <v>25</v>
      </c>
      <c r="B144" s="2" t="s">
        <v>3944</v>
      </c>
      <c r="C144" s="2" t="s">
        <v>1059</v>
      </c>
      <c r="D144" s="2" t="s">
        <v>599</v>
      </c>
      <c r="E144" s="1" t="s">
        <v>3675</v>
      </c>
      <c r="F144" s="2" t="s">
        <v>35</v>
      </c>
      <c r="G144" s="2">
        <v>-33.869999999999997</v>
      </c>
      <c r="H144" s="2" t="str">
        <f t="shared" si="4"/>
        <v>W</v>
      </c>
      <c r="I144" s="5">
        <v>17.32</v>
      </c>
      <c r="J144" s="5">
        <v>519.57000000000005</v>
      </c>
      <c r="K144" s="7">
        <v>6</v>
      </c>
      <c r="L144" s="5">
        <v>14.4</v>
      </c>
      <c r="M144" s="2" t="s">
        <v>571</v>
      </c>
      <c r="N144" s="5">
        <v>28.4</v>
      </c>
      <c r="O144" s="5">
        <v>17.399999999999999</v>
      </c>
      <c r="P144" s="5">
        <v>5.0999999999999996</v>
      </c>
      <c r="Q144" s="2" t="s">
        <v>18</v>
      </c>
      <c r="R144" s="5">
        <v>73</v>
      </c>
      <c r="S144" s="5">
        <v>14.05</v>
      </c>
      <c r="T144" s="9">
        <f>MEDIAN(2,3)</f>
        <v>2.5</v>
      </c>
      <c r="U144" s="2" t="str">
        <f>IF(T144&lt;=1, "1",IF(AND(T144&gt;1,T144&lt;4), "2-3", "+4"))</f>
        <v>2-3</v>
      </c>
      <c r="V144" s="5">
        <f>S144*T144</f>
        <v>35.125</v>
      </c>
      <c r="W144" s="6" t="s">
        <v>2323</v>
      </c>
    </row>
    <row r="145" spans="1:23" x14ac:dyDescent="0.15">
      <c r="A145" s="2" t="s">
        <v>25</v>
      </c>
      <c r="B145" s="2" t="s">
        <v>3944</v>
      </c>
      <c r="C145" s="2" t="s">
        <v>1059</v>
      </c>
      <c r="D145" s="2" t="s">
        <v>599</v>
      </c>
      <c r="E145" s="1" t="s">
        <v>3675</v>
      </c>
      <c r="F145" s="2" t="s">
        <v>51</v>
      </c>
      <c r="G145" s="2">
        <v>-23.5</v>
      </c>
      <c r="H145" s="2" t="str">
        <f t="shared" si="4"/>
        <v>W</v>
      </c>
      <c r="I145" s="5">
        <v>27.2</v>
      </c>
      <c r="J145" s="5">
        <v>2187</v>
      </c>
      <c r="K145" s="5"/>
      <c r="L145" s="5">
        <v>16.399999999999999</v>
      </c>
      <c r="M145" s="2" t="s">
        <v>571</v>
      </c>
      <c r="N145" s="5">
        <v>36.5</v>
      </c>
      <c r="O145" s="5">
        <v>21.1</v>
      </c>
      <c r="P145" s="5">
        <v>9.75</v>
      </c>
      <c r="Q145" s="2" t="s">
        <v>18</v>
      </c>
      <c r="R145" s="5">
        <v>159.9</v>
      </c>
      <c r="S145" s="5">
        <f>(R145/J145)*100</f>
        <v>7.3113854595336081</v>
      </c>
      <c r="W145" s="6" t="s">
        <v>2850</v>
      </c>
    </row>
    <row r="146" spans="1:23" x14ac:dyDescent="0.15">
      <c r="A146" s="2" t="s">
        <v>25</v>
      </c>
      <c r="B146" s="2" t="s">
        <v>3944</v>
      </c>
      <c r="C146" s="2" t="s">
        <v>1059</v>
      </c>
      <c r="D146" s="2" t="s">
        <v>599</v>
      </c>
      <c r="E146" s="1" t="s">
        <v>3675</v>
      </c>
      <c r="F146" s="2" t="s">
        <v>841</v>
      </c>
      <c r="G146" s="2">
        <v>-35.92</v>
      </c>
      <c r="H146" s="2" t="str">
        <f t="shared" si="4"/>
        <v>W</v>
      </c>
      <c r="I146" s="5">
        <v>26.93</v>
      </c>
      <c r="J146" s="5">
        <v>2261.6</v>
      </c>
      <c r="K146" s="5"/>
      <c r="L146" s="5">
        <v>18.86</v>
      </c>
      <c r="M146" s="2" t="s">
        <v>571</v>
      </c>
      <c r="N146" s="5">
        <v>36.32</v>
      </c>
      <c r="O146" s="5">
        <v>21.62</v>
      </c>
      <c r="P146" s="5">
        <v>9.75</v>
      </c>
      <c r="Q146" s="2" t="s">
        <v>18</v>
      </c>
      <c r="R146" s="5">
        <v>183.79</v>
      </c>
      <c r="S146" s="5">
        <v>8.1259999999999994</v>
      </c>
      <c r="W146" s="6" t="s">
        <v>5175</v>
      </c>
    </row>
    <row r="147" spans="1:23" x14ac:dyDescent="0.15">
      <c r="A147" s="2" t="s">
        <v>25</v>
      </c>
      <c r="B147" s="2" t="s">
        <v>3944</v>
      </c>
      <c r="C147" s="2" t="s">
        <v>1059</v>
      </c>
      <c r="D147" s="2" t="s">
        <v>599</v>
      </c>
      <c r="E147" s="1" t="s">
        <v>3675</v>
      </c>
      <c r="F147" s="2" t="s">
        <v>841</v>
      </c>
      <c r="G147" s="2">
        <v>-35.86</v>
      </c>
      <c r="H147" s="2" t="str">
        <f t="shared" si="4"/>
        <v>W</v>
      </c>
      <c r="I147" s="5">
        <v>26.27</v>
      </c>
      <c r="J147" s="5">
        <v>2165.6</v>
      </c>
      <c r="K147" s="5"/>
      <c r="L147" s="5">
        <v>18.29</v>
      </c>
      <c r="M147" s="2" t="s">
        <v>571</v>
      </c>
      <c r="N147" s="5">
        <v>36.229999999999997</v>
      </c>
      <c r="O147" s="5">
        <v>21.45</v>
      </c>
      <c r="P147" s="5">
        <v>10.14</v>
      </c>
      <c r="Q147" s="2" t="s">
        <v>18</v>
      </c>
      <c r="R147" s="5">
        <v>185.38</v>
      </c>
      <c r="S147" s="5">
        <v>8.56</v>
      </c>
      <c r="W147" s="6" t="s">
        <v>5175</v>
      </c>
    </row>
    <row r="148" spans="1:23" x14ac:dyDescent="0.15">
      <c r="A148" s="2" t="s">
        <v>25</v>
      </c>
      <c r="B148" s="2" t="s">
        <v>3944</v>
      </c>
      <c r="C148" s="2" t="s">
        <v>1059</v>
      </c>
      <c r="D148" s="2" t="s">
        <v>599</v>
      </c>
      <c r="E148" s="1" t="s">
        <v>3675</v>
      </c>
      <c r="F148" s="2" t="s">
        <v>841</v>
      </c>
      <c r="G148" s="2">
        <v>-35.96</v>
      </c>
      <c r="H148" s="2" t="str">
        <f t="shared" si="4"/>
        <v>W</v>
      </c>
      <c r="I148" s="5">
        <v>28.35</v>
      </c>
      <c r="J148" s="5">
        <v>2711.5</v>
      </c>
      <c r="K148" s="5"/>
      <c r="L148" s="5">
        <v>18.25</v>
      </c>
      <c r="M148" s="2" t="s">
        <v>571</v>
      </c>
      <c r="N148" s="5">
        <v>37.14</v>
      </c>
      <c r="O148" s="5">
        <v>23.79</v>
      </c>
      <c r="P148" s="5">
        <v>10.66</v>
      </c>
      <c r="Q148" s="2" t="s">
        <v>18</v>
      </c>
      <c r="R148" s="5">
        <v>194.62</v>
      </c>
      <c r="S148" s="5">
        <v>7.1779999999999999</v>
      </c>
      <c r="W148" s="6" t="s">
        <v>5175</v>
      </c>
    </row>
    <row r="149" spans="1:23" x14ac:dyDescent="0.15">
      <c r="A149" s="2" t="s">
        <v>25</v>
      </c>
      <c r="B149" s="2" t="s">
        <v>3944</v>
      </c>
      <c r="C149" s="2" t="s">
        <v>1059</v>
      </c>
      <c r="D149" s="2" t="s">
        <v>599</v>
      </c>
      <c r="E149" s="1" t="s">
        <v>3675</v>
      </c>
      <c r="F149" s="2" t="s">
        <v>841</v>
      </c>
      <c r="G149" s="2">
        <v>-35.69</v>
      </c>
      <c r="H149" s="2" t="str">
        <f t="shared" si="4"/>
        <v>W</v>
      </c>
      <c r="I149" s="5">
        <v>26.03</v>
      </c>
      <c r="J149" s="5">
        <v>2155.65</v>
      </c>
      <c r="K149" s="5"/>
      <c r="L149" s="5">
        <v>18.89</v>
      </c>
      <c r="M149" s="2" t="s">
        <v>571</v>
      </c>
      <c r="N149" s="5">
        <v>35.619999999999997</v>
      </c>
      <c r="O149" s="5">
        <v>20.93</v>
      </c>
      <c r="P149" s="5">
        <v>9.42</v>
      </c>
      <c r="Q149" s="2" t="s">
        <v>18</v>
      </c>
      <c r="R149" s="5">
        <v>177.88</v>
      </c>
      <c r="S149" s="5">
        <v>8.25</v>
      </c>
      <c r="W149" s="6" t="s">
        <v>5175</v>
      </c>
    </row>
    <row r="150" spans="1:23" x14ac:dyDescent="0.15">
      <c r="A150" s="2" t="s">
        <v>25</v>
      </c>
      <c r="B150" s="2" t="s">
        <v>3944</v>
      </c>
      <c r="C150" s="2" t="s">
        <v>1059</v>
      </c>
      <c r="D150" s="2" t="s">
        <v>599</v>
      </c>
      <c r="E150" s="1" t="s">
        <v>3675</v>
      </c>
      <c r="F150" s="2" t="s">
        <v>37</v>
      </c>
      <c r="G150" s="2">
        <v>-37</v>
      </c>
      <c r="H150" s="2" t="str">
        <f t="shared" si="4"/>
        <v>W</v>
      </c>
      <c r="I150" s="5">
        <v>30.73</v>
      </c>
      <c r="J150" s="5">
        <f>2.68*1000</f>
        <v>2680</v>
      </c>
      <c r="K150" s="5"/>
      <c r="L150" s="5">
        <v>22.8</v>
      </c>
      <c r="M150" s="2" t="s">
        <v>571</v>
      </c>
      <c r="N150" s="5">
        <v>35.43</v>
      </c>
      <c r="O150" s="5">
        <v>21.46</v>
      </c>
      <c r="P150" s="5">
        <v>9.86</v>
      </c>
      <c r="Q150" s="2" t="s">
        <v>18</v>
      </c>
      <c r="R150" s="5">
        <v>208.86</v>
      </c>
      <c r="S150" s="5">
        <f>(R150/J150)*100</f>
        <v>7.7932835820895523</v>
      </c>
      <c r="W150" s="6" t="s">
        <v>38</v>
      </c>
    </row>
    <row r="151" spans="1:23" x14ac:dyDescent="0.15">
      <c r="A151" s="2" t="s">
        <v>25</v>
      </c>
      <c r="B151" s="2" t="s">
        <v>3944</v>
      </c>
      <c r="C151" s="2" t="s">
        <v>1059</v>
      </c>
      <c r="D151" s="2" t="s">
        <v>599</v>
      </c>
      <c r="E151" s="1" t="s">
        <v>3675</v>
      </c>
      <c r="F151" s="2" t="s">
        <v>35</v>
      </c>
      <c r="G151" s="2">
        <v>-36.1</v>
      </c>
      <c r="H151" s="2" t="str">
        <f t="shared" si="4"/>
        <v>W</v>
      </c>
      <c r="I151" s="5"/>
      <c r="J151" s="5"/>
      <c r="K151" s="5">
        <f>MEDIAN(9,11)</f>
        <v>10</v>
      </c>
      <c r="L151" s="5"/>
      <c r="M151" s="5" t="s">
        <v>571</v>
      </c>
      <c r="N151" s="5"/>
      <c r="O151" s="5"/>
      <c r="P151" s="5"/>
      <c r="R151" s="5"/>
      <c r="S151" s="5"/>
      <c r="T151" s="2">
        <v>1.0900000000000001</v>
      </c>
      <c r="U151" s="2" t="str">
        <f>IF(T151&lt;=1, "1",IF(AND(T151&gt;1,T151&lt;4), "2-3", "+4"))</f>
        <v>2-3</v>
      </c>
      <c r="W151" s="6" t="s">
        <v>2209</v>
      </c>
    </row>
    <row r="152" spans="1:23" x14ac:dyDescent="0.15">
      <c r="A152" s="2" t="s">
        <v>25</v>
      </c>
      <c r="B152" s="2" t="s">
        <v>3944</v>
      </c>
      <c r="C152" s="2" t="s">
        <v>1059</v>
      </c>
      <c r="D152" s="2" t="s">
        <v>599</v>
      </c>
      <c r="E152" s="1" t="s">
        <v>3675</v>
      </c>
      <c r="F152" s="2" t="s">
        <v>35</v>
      </c>
      <c r="G152" s="2">
        <v>-35</v>
      </c>
      <c r="H152" s="2" t="str">
        <f t="shared" si="4"/>
        <v>W</v>
      </c>
      <c r="I152" s="5"/>
      <c r="J152" s="5"/>
      <c r="K152" s="5"/>
      <c r="L152" s="5">
        <v>21.5</v>
      </c>
      <c r="M152" s="2" t="s">
        <v>571</v>
      </c>
      <c r="N152" s="5">
        <v>36.11</v>
      </c>
      <c r="O152" s="5">
        <v>22.02</v>
      </c>
      <c r="P152" s="5">
        <v>10.423</v>
      </c>
      <c r="Q152" s="2" t="s">
        <v>18</v>
      </c>
      <c r="R152" s="5">
        <v>224.1</v>
      </c>
      <c r="S152" s="5"/>
      <c r="W152" s="6" t="s">
        <v>2151</v>
      </c>
    </row>
    <row r="153" spans="1:23" x14ac:dyDescent="0.15">
      <c r="A153" s="2" t="s">
        <v>25</v>
      </c>
      <c r="B153" s="2" t="s">
        <v>3944</v>
      </c>
      <c r="C153" s="2" t="s">
        <v>1059</v>
      </c>
      <c r="D153" s="2" t="s">
        <v>599</v>
      </c>
      <c r="E153" s="1" t="s">
        <v>3675</v>
      </c>
      <c r="F153" s="2" t="s">
        <v>3858</v>
      </c>
      <c r="G153" s="2">
        <v>-34.200000000000003</v>
      </c>
      <c r="H153" s="2" t="str">
        <f t="shared" si="4"/>
        <v>W</v>
      </c>
      <c r="I153" s="5"/>
      <c r="J153" s="5"/>
      <c r="K153" s="5"/>
      <c r="L153" s="5"/>
      <c r="M153" s="2" t="s">
        <v>571</v>
      </c>
      <c r="N153" s="5"/>
      <c r="O153" s="8"/>
      <c r="P153" s="5">
        <v>10.423</v>
      </c>
      <c r="Q153" s="2" t="s">
        <v>18</v>
      </c>
      <c r="R153" s="5"/>
      <c r="S153" s="5"/>
      <c r="W153" s="6" t="s">
        <v>3857</v>
      </c>
    </row>
    <row r="154" spans="1:23" x14ac:dyDescent="0.15">
      <c r="A154" s="4" t="s">
        <v>25</v>
      </c>
      <c r="B154" s="2" t="s">
        <v>3944</v>
      </c>
      <c r="C154" s="4" t="s">
        <v>1059</v>
      </c>
      <c r="D154" s="4" t="s">
        <v>599</v>
      </c>
      <c r="E154" s="1" t="s">
        <v>3675</v>
      </c>
      <c r="F154" s="4" t="s">
        <v>35</v>
      </c>
      <c r="G154" s="4">
        <v>-34.22</v>
      </c>
      <c r="H154" s="2" t="str">
        <f t="shared" si="4"/>
        <v>W</v>
      </c>
      <c r="I154" s="33">
        <v>25.7</v>
      </c>
      <c r="J154" s="5">
        <v>1740</v>
      </c>
      <c r="K154" s="33">
        <v>7</v>
      </c>
      <c r="L154" s="33">
        <v>18.2</v>
      </c>
      <c r="M154" s="2" t="s">
        <v>571</v>
      </c>
      <c r="N154" s="33"/>
      <c r="O154" s="5">
        <f>(P154+ 2.9845)/0.4956</f>
        <v>27.05306698950767</v>
      </c>
      <c r="P154" s="5">
        <v>10.423</v>
      </c>
      <c r="Q154" s="2" t="s">
        <v>18</v>
      </c>
      <c r="R154" s="5">
        <v>189.6</v>
      </c>
      <c r="S154" s="5">
        <v>10.9</v>
      </c>
      <c r="T154" s="2">
        <v>3</v>
      </c>
      <c r="U154" s="2" t="str">
        <f>IF(T154&lt;=1, "1",IF(AND(T154&gt;1,T154&lt;4), "2-3", "+4"))</f>
        <v>2-3</v>
      </c>
      <c r="V154" s="5">
        <f>S154*T154</f>
        <v>32.700000000000003</v>
      </c>
      <c r="W154" s="10" t="s">
        <v>1757</v>
      </c>
    </row>
    <row r="155" spans="1:23" x14ac:dyDescent="0.15">
      <c r="A155" s="2" t="s">
        <v>25</v>
      </c>
      <c r="B155" s="2" t="s">
        <v>3944</v>
      </c>
      <c r="C155" s="2" t="s">
        <v>1059</v>
      </c>
      <c r="D155" s="2" t="s">
        <v>599</v>
      </c>
      <c r="E155" s="1" t="s">
        <v>3470</v>
      </c>
      <c r="F155" s="2" t="s">
        <v>4055</v>
      </c>
      <c r="G155" s="2">
        <v>-19.7</v>
      </c>
      <c r="H155" s="2" t="str">
        <f t="shared" si="4"/>
        <v>W</v>
      </c>
      <c r="I155" s="5"/>
      <c r="J155" s="5"/>
      <c r="K155" s="5">
        <v>9</v>
      </c>
      <c r="L155" s="5"/>
      <c r="M155" s="5"/>
      <c r="N155" s="5"/>
      <c r="O155" s="5"/>
      <c r="P155" s="5"/>
      <c r="R155" s="5"/>
      <c r="S155" s="5"/>
      <c r="V155" s="5"/>
      <c r="W155" s="6" t="s">
        <v>4056</v>
      </c>
    </row>
    <row r="156" spans="1:23" x14ac:dyDescent="0.15">
      <c r="A156" s="2" t="s">
        <v>25</v>
      </c>
      <c r="B156" s="2" t="s">
        <v>3944</v>
      </c>
      <c r="C156" s="2" t="s">
        <v>1059</v>
      </c>
      <c r="D156" s="2" t="s">
        <v>387</v>
      </c>
      <c r="E156" s="1" t="s">
        <v>1060</v>
      </c>
      <c r="F156" s="2" t="s">
        <v>374</v>
      </c>
      <c r="G156" s="2" t="s">
        <v>374</v>
      </c>
      <c r="H156" s="2" t="str">
        <f t="shared" si="4"/>
        <v>C</v>
      </c>
      <c r="I156" s="5">
        <v>18.5</v>
      </c>
      <c r="J156" s="5">
        <v>846</v>
      </c>
      <c r="K156" s="5"/>
      <c r="L156" s="5">
        <v>9</v>
      </c>
      <c r="M156" s="5" t="s">
        <v>571</v>
      </c>
      <c r="N156" s="5">
        <v>35.11</v>
      </c>
      <c r="O156" s="5">
        <v>19.170000000000002</v>
      </c>
      <c r="P156" s="5">
        <v>8</v>
      </c>
      <c r="Q156" s="2" t="s">
        <v>18</v>
      </c>
      <c r="R156" s="5">
        <v>72</v>
      </c>
      <c r="S156" s="5">
        <v>8.51</v>
      </c>
      <c r="V156" s="5"/>
      <c r="W156" s="6" t="s">
        <v>2157</v>
      </c>
    </row>
    <row r="157" spans="1:23" x14ac:dyDescent="0.15">
      <c r="A157" s="2" t="s">
        <v>25</v>
      </c>
      <c r="B157" s="2" t="s">
        <v>3944</v>
      </c>
      <c r="C157" s="2" t="s">
        <v>1059</v>
      </c>
      <c r="D157" s="2" t="s">
        <v>387</v>
      </c>
      <c r="E157" s="1" t="s">
        <v>4461</v>
      </c>
      <c r="F157" s="2" t="s">
        <v>847</v>
      </c>
      <c r="G157" s="2">
        <v>-10.7</v>
      </c>
      <c r="H157" s="2" t="str">
        <f t="shared" si="4"/>
        <v>W</v>
      </c>
      <c r="I157" s="5">
        <v>16.399999999999999</v>
      </c>
      <c r="J157" s="5">
        <f xml:space="preserve"> 0.1*(I157)^3</f>
        <v>441.09439999999995</v>
      </c>
      <c r="K157" s="5"/>
      <c r="L157" s="5">
        <f>MEDIAN(7,13)</f>
        <v>10</v>
      </c>
      <c r="M157" s="5" t="s">
        <v>571</v>
      </c>
      <c r="N157" s="5">
        <v>29</v>
      </c>
      <c r="O157" s="5">
        <v>17</v>
      </c>
      <c r="P157" s="5">
        <f>MEDIAN(5,6)</f>
        <v>5.5</v>
      </c>
      <c r="Q157" s="2" t="s">
        <v>18</v>
      </c>
      <c r="R157" s="5">
        <f>P157*L157</f>
        <v>55</v>
      </c>
      <c r="S157" s="5">
        <f>(R157/J157)*100</f>
        <v>12.468986230611861</v>
      </c>
      <c r="V157" s="5"/>
      <c r="W157" s="6" t="s">
        <v>2152</v>
      </c>
    </row>
    <row r="158" spans="1:23" x14ac:dyDescent="0.15">
      <c r="A158" s="2" t="s">
        <v>25</v>
      </c>
      <c r="B158" s="2" t="s">
        <v>3944</v>
      </c>
      <c r="C158" s="2" t="s">
        <v>1059</v>
      </c>
      <c r="D158" s="2" t="s">
        <v>387</v>
      </c>
      <c r="E158" s="1" t="s">
        <v>1060</v>
      </c>
      <c r="F158" s="2" t="s">
        <v>374</v>
      </c>
      <c r="G158" s="2" t="s">
        <v>374</v>
      </c>
      <c r="H158" s="2" t="str">
        <f t="shared" si="4"/>
        <v>C</v>
      </c>
      <c r="I158" s="5">
        <v>18.7</v>
      </c>
      <c r="J158" s="5">
        <v>642</v>
      </c>
      <c r="K158" s="7">
        <v>5</v>
      </c>
      <c r="L158" s="5">
        <v>6.9</v>
      </c>
      <c r="M158" s="2" t="s">
        <v>571</v>
      </c>
      <c r="N158" s="5">
        <v>32.5</v>
      </c>
      <c r="O158" s="5">
        <v>18.399999999999999</v>
      </c>
      <c r="P158" s="5">
        <v>5.7</v>
      </c>
      <c r="Q158" s="2" t="s">
        <v>18</v>
      </c>
      <c r="R158" s="5">
        <v>39.33</v>
      </c>
      <c r="S158" s="5">
        <v>6.13</v>
      </c>
      <c r="V158" s="5"/>
      <c r="W158" s="6" t="s">
        <v>2326</v>
      </c>
    </row>
    <row r="159" spans="1:23" x14ac:dyDescent="0.15">
      <c r="A159" s="2" t="s">
        <v>25</v>
      </c>
      <c r="B159" s="2" t="s">
        <v>3944</v>
      </c>
      <c r="C159" s="2" t="s">
        <v>1059</v>
      </c>
      <c r="D159" s="2" t="s">
        <v>387</v>
      </c>
      <c r="E159" s="1" t="s">
        <v>1060</v>
      </c>
      <c r="F159" s="2" t="s">
        <v>374</v>
      </c>
      <c r="G159" s="2" t="s">
        <v>374</v>
      </c>
      <c r="H159" s="2" t="str">
        <f t="shared" si="4"/>
        <v>C</v>
      </c>
      <c r="I159" s="5">
        <v>19.75</v>
      </c>
      <c r="J159" s="5">
        <v>1035</v>
      </c>
      <c r="K159" s="5"/>
      <c r="L159" s="5">
        <v>10.3</v>
      </c>
      <c r="M159" s="2" t="s">
        <v>571</v>
      </c>
      <c r="N159" s="5">
        <v>34</v>
      </c>
      <c r="O159" s="5">
        <v>19.5</v>
      </c>
      <c r="P159" s="5">
        <v>8</v>
      </c>
      <c r="Q159" s="2" t="s">
        <v>18</v>
      </c>
      <c r="R159" s="5">
        <v>82.4</v>
      </c>
      <c r="S159" s="5">
        <v>7.96</v>
      </c>
      <c r="T159" s="2" t="s">
        <v>416</v>
      </c>
      <c r="U159" s="40" t="s">
        <v>4047</v>
      </c>
      <c r="V159" s="5"/>
      <c r="W159" s="6" t="s">
        <v>2325</v>
      </c>
    </row>
    <row r="160" spans="1:23" x14ac:dyDescent="0.15">
      <c r="A160" s="1" t="s">
        <v>25</v>
      </c>
      <c r="B160" s="2" t="s">
        <v>3944</v>
      </c>
      <c r="C160" s="1" t="s">
        <v>1059</v>
      </c>
      <c r="D160" s="1" t="s">
        <v>387</v>
      </c>
      <c r="E160" s="1" t="s">
        <v>1060</v>
      </c>
      <c r="F160" s="1" t="s">
        <v>392</v>
      </c>
      <c r="G160" s="1">
        <v>-8.24</v>
      </c>
      <c r="H160" s="1" t="s">
        <v>3887</v>
      </c>
      <c r="I160" s="8">
        <v>19.2</v>
      </c>
      <c r="J160" s="8">
        <v>793.7</v>
      </c>
      <c r="K160" s="8"/>
      <c r="L160" s="8">
        <v>7</v>
      </c>
      <c r="M160" s="1" t="s">
        <v>571</v>
      </c>
      <c r="N160" s="8">
        <v>35</v>
      </c>
      <c r="O160" s="8">
        <v>19</v>
      </c>
      <c r="P160" s="8">
        <v>7.68</v>
      </c>
      <c r="Q160" s="1" t="s">
        <v>18</v>
      </c>
      <c r="R160" s="8">
        <v>51.1</v>
      </c>
      <c r="S160" s="8">
        <v>6.44</v>
      </c>
      <c r="T160" s="1">
        <v>3.1</v>
      </c>
      <c r="U160" s="2" t="str">
        <f>IF(T160&lt;=1, "1",IF(AND(T160&gt;1,T160&lt;4), "2-3", "+4"))</f>
        <v>2-3</v>
      </c>
      <c r="V160" s="8">
        <v>19.96</v>
      </c>
      <c r="W160" s="6" t="s">
        <v>1754</v>
      </c>
    </row>
    <row r="161" spans="1:23" x14ac:dyDescent="0.15">
      <c r="A161" s="2" t="s">
        <v>25</v>
      </c>
      <c r="B161" s="2" t="s">
        <v>3944</v>
      </c>
      <c r="C161" s="2" t="s">
        <v>1059</v>
      </c>
      <c r="D161" s="2" t="s">
        <v>387</v>
      </c>
      <c r="E161" s="1" t="s">
        <v>1060</v>
      </c>
      <c r="F161" s="2" t="s">
        <v>374</v>
      </c>
      <c r="G161" s="2" t="s">
        <v>374</v>
      </c>
      <c r="H161" s="2" t="str">
        <f t="shared" ref="H161:H192" si="5">IF(G161="captive","C","W")</f>
        <v>C</v>
      </c>
      <c r="I161" s="5">
        <v>19.5</v>
      </c>
      <c r="J161" s="5">
        <v>985</v>
      </c>
      <c r="K161" s="5"/>
      <c r="L161" s="5">
        <v>13</v>
      </c>
      <c r="M161" s="5" t="s">
        <v>571</v>
      </c>
      <c r="N161" s="5">
        <v>33.770000000000003</v>
      </c>
      <c r="O161" s="5">
        <v>19.77</v>
      </c>
      <c r="P161" s="5">
        <v>8.23</v>
      </c>
      <c r="Q161" s="2" t="s">
        <v>18</v>
      </c>
      <c r="R161" s="5">
        <v>106.99</v>
      </c>
      <c r="S161" s="5">
        <v>10.86</v>
      </c>
      <c r="T161" s="2">
        <v>1</v>
      </c>
      <c r="U161" s="2" t="str">
        <f>IF(T161&lt;=1, "1",IF(AND(T161&gt;1,T161&lt;4), "2-3", "+4"))</f>
        <v>1</v>
      </c>
      <c r="V161" s="5">
        <f>S161*T161</f>
        <v>10.86</v>
      </c>
      <c r="W161" s="6" t="s">
        <v>2155</v>
      </c>
    </row>
    <row r="162" spans="1:23" x14ac:dyDescent="0.15">
      <c r="A162" s="2" t="s">
        <v>25</v>
      </c>
      <c r="B162" s="2" t="s">
        <v>3944</v>
      </c>
      <c r="C162" s="2" t="s">
        <v>1059</v>
      </c>
      <c r="D162" s="2" t="s">
        <v>387</v>
      </c>
      <c r="E162" s="1" t="s">
        <v>1060</v>
      </c>
      <c r="F162" s="2" t="s">
        <v>374</v>
      </c>
      <c r="G162" s="2" t="s">
        <v>374</v>
      </c>
      <c r="H162" s="2" t="str">
        <f t="shared" si="5"/>
        <v>C</v>
      </c>
      <c r="I162" s="5">
        <v>19.5</v>
      </c>
      <c r="J162" s="5">
        <v>985</v>
      </c>
      <c r="K162" s="5"/>
      <c r="L162" s="5">
        <v>13</v>
      </c>
      <c r="M162" s="2" t="s">
        <v>571</v>
      </c>
      <c r="N162" s="5">
        <v>34.11</v>
      </c>
      <c r="O162" s="5">
        <v>19.14</v>
      </c>
      <c r="P162" s="5">
        <v>8.1999999999999993</v>
      </c>
      <c r="Q162" s="2" t="s">
        <v>18</v>
      </c>
      <c r="R162" s="5">
        <v>106.6</v>
      </c>
      <c r="S162" s="5">
        <v>10.82</v>
      </c>
      <c r="T162" s="2">
        <v>1</v>
      </c>
      <c r="U162" s="2" t="str">
        <f>IF(T162&lt;=1, "1",IF(AND(T162&gt;1,T162&lt;4), "2-3", "+4"))</f>
        <v>1</v>
      </c>
      <c r="V162" s="5">
        <f>S162*T162</f>
        <v>10.82</v>
      </c>
      <c r="W162" s="6" t="s">
        <v>2155</v>
      </c>
    </row>
    <row r="163" spans="1:23" x14ac:dyDescent="0.15">
      <c r="A163" s="2" t="s">
        <v>25</v>
      </c>
      <c r="B163" s="2" t="s">
        <v>3944</v>
      </c>
      <c r="C163" s="2" t="s">
        <v>1059</v>
      </c>
      <c r="D163" s="2" t="s">
        <v>387</v>
      </c>
      <c r="E163" s="1" t="s">
        <v>1060</v>
      </c>
      <c r="F163" s="2" t="s">
        <v>2262</v>
      </c>
      <c r="G163" s="2">
        <v>-9.48</v>
      </c>
      <c r="H163" s="2" t="str">
        <f t="shared" si="5"/>
        <v>W</v>
      </c>
      <c r="I163" s="5">
        <v>21</v>
      </c>
      <c r="J163" s="5">
        <v>926.1</v>
      </c>
      <c r="K163" s="5"/>
      <c r="L163" s="5">
        <v>7</v>
      </c>
      <c r="M163" s="2" t="s">
        <v>571</v>
      </c>
      <c r="N163" s="5">
        <v>39.6</v>
      </c>
      <c r="O163" s="5">
        <v>20.5</v>
      </c>
      <c r="P163" s="5">
        <v>9.5399999999999991</v>
      </c>
      <c r="Q163" s="2" t="s">
        <v>376</v>
      </c>
      <c r="R163" s="5">
        <v>66.760000000000005</v>
      </c>
      <c r="S163" s="5">
        <v>7.21</v>
      </c>
      <c r="V163" s="5"/>
      <c r="W163" s="6" t="s">
        <v>1759</v>
      </c>
    </row>
    <row r="164" spans="1:23" x14ac:dyDescent="0.15">
      <c r="A164" s="2" t="s">
        <v>25</v>
      </c>
      <c r="B164" s="2" t="s">
        <v>3944</v>
      </c>
      <c r="C164" s="2" t="s">
        <v>1059</v>
      </c>
      <c r="D164" s="2" t="s">
        <v>387</v>
      </c>
      <c r="E164" s="1" t="s">
        <v>1060</v>
      </c>
      <c r="F164" s="2" t="s">
        <v>374</v>
      </c>
      <c r="G164" s="2" t="s">
        <v>374</v>
      </c>
      <c r="H164" s="2" t="str">
        <f t="shared" si="5"/>
        <v>C</v>
      </c>
      <c r="I164" s="5">
        <v>17.850000000000001</v>
      </c>
      <c r="J164" s="5">
        <v>813</v>
      </c>
      <c r="K164" s="5"/>
      <c r="L164" s="5">
        <v>11.29</v>
      </c>
      <c r="M164" s="2" t="s">
        <v>571</v>
      </c>
      <c r="N164" s="5"/>
      <c r="O164" s="5"/>
      <c r="P164" s="5"/>
      <c r="R164" s="5"/>
      <c r="S164" s="5"/>
      <c r="V164" s="5"/>
      <c r="W164" s="6" t="s">
        <v>2324</v>
      </c>
    </row>
    <row r="165" spans="1:23" x14ac:dyDescent="0.15">
      <c r="A165" s="2" t="s">
        <v>25</v>
      </c>
      <c r="B165" s="2" t="s">
        <v>3944</v>
      </c>
      <c r="C165" s="2" t="s">
        <v>1059</v>
      </c>
      <c r="D165" s="2" t="s">
        <v>387</v>
      </c>
      <c r="E165" s="1" t="s">
        <v>1060</v>
      </c>
      <c r="F165" s="2" t="s">
        <v>374</v>
      </c>
      <c r="G165" s="2" t="s">
        <v>374</v>
      </c>
      <c r="H165" s="2" t="str">
        <f t="shared" si="5"/>
        <v>C</v>
      </c>
      <c r="I165" s="5"/>
      <c r="J165" s="5"/>
      <c r="K165" s="5"/>
      <c r="L165" s="7">
        <f>MEDIAN(8,11)</f>
        <v>9.5</v>
      </c>
      <c r="M165" s="2" t="s">
        <v>571</v>
      </c>
      <c r="N165" s="7">
        <f>MEDIAN(33,40)</f>
        <v>36.5</v>
      </c>
      <c r="O165" s="7">
        <f>MEDIAN(17,18)</f>
        <v>17.5</v>
      </c>
      <c r="P165" s="5">
        <f xml:space="preserve"> 0.149*N165 + 0.62*O165 - 9.073</f>
        <v>7.2154999999999987</v>
      </c>
      <c r="Q165" s="2" t="s">
        <v>376</v>
      </c>
      <c r="R165" s="5">
        <f>P165*L165</f>
        <v>68.547249999999991</v>
      </c>
      <c r="S165" s="5"/>
      <c r="T165" s="9">
        <f>MEDIAN(2,3)</f>
        <v>2.5</v>
      </c>
      <c r="U165" s="2" t="str">
        <f>IF(T165&lt;=1, "1",IF(AND(T165&gt;1,T165&lt;4), "2-3", "+4"))</f>
        <v>2-3</v>
      </c>
      <c r="V165" s="5"/>
      <c r="W165" s="6" t="s">
        <v>2770</v>
      </c>
    </row>
    <row r="166" spans="1:23" x14ac:dyDescent="0.15">
      <c r="A166" s="2" t="s">
        <v>25</v>
      </c>
      <c r="B166" s="2" t="s">
        <v>3944</v>
      </c>
      <c r="C166" s="2" t="s">
        <v>1059</v>
      </c>
      <c r="D166" s="2" t="s">
        <v>387</v>
      </c>
      <c r="E166" s="1" t="s">
        <v>1060</v>
      </c>
      <c r="F166" s="2" t="s">
        <v>374</v>
      </c>
      <c r="G166" s="2" t="s">
        <v>374</v>
      </c>
      <c r="H166" s="2" t="str">
        <f t="shared" si="5"/>
        <v>C</v>
      </c>
      <c r="I166" s="5">
        <v>21.28</v>
      </c>
      <c r="J166" s="5">
        <v>1175.67</v>
      </c>
      <c r="K166" s="5">
        <v>4</v>
      </c>
      <c r="L166" s="5">
        <v>10</v>
      </c>
      <c r="M166" s="5" t="s">
        <v>571</v>
      </c>
      <c r="N166" s="5">
        <v>32</v>
      </c>
      <c r="O166" s="5">
        <v>20</v>
      </c>
      <c r="P166" s="5">
        <v>6</v>
      </c>
      <c r="Q166" s="2" t="s">
        <v>18</v>
      </c>
      <c r="R166" s="5">
        <v>60</v>
      </c>
      <c r="S166" s="5">
        <v>5.0999999999999996</v>
      </c>
      <c r="T166" s="2">
        <f>MEDIAN(3,5)</f>
        <v>4</v>
      </c>
      <c r="U166" s="2" t="str">
        <f>IF(T166&lt;=1, "1",IF(AND(T166&gt;1,T166&lt;4), "2-3", "+4"))</f>
        <v>+4</v>
      </c>
      <c r="V166" s="5">
        <f>S166*T166</f>
        <v>20.399999999999999</v>
      </c>
      <c r="W166" s="6" t="s">
        <v>2210</v>
      </c>
    </row>
    <row r="167" spans="1:23" x14ac:dyDescent="0.15">
      <c r="A167" s="2" t="s">
        <v>25</v>
      </c>
      <c r="B167" s="2" t="s">
        <v>3944</v>
      </c>
      <c r="C167" s="2" t="s">
        <v>1059</v>
      </c>
      <c r="D167" s="2" t="s">
        <v>387</v>
      </c>
      <c r="E167" s="1" t="s">
        <v>1060</v>
      </c>
      <c r="F167" s="2" t="s">
        <v>2262</v>
      </c>
      <c r="G167" s="2">
        <v>-9.14</v>
      </c>
      <c r="H167" s="2" t="str">
        <f t="shared" si="5"/>
        <v>W</v>
      </c>
      <c r="I167" s="5">
        <v>24.93</v>
      </c>
      <c r="J167" s="5">
        <v>1550</v>
      </c>
      <c r="K167" s="5"/>
      <c r="L167" s="5">
        <v>10</v>
      </c>
      <c r="M167" s="2" t="s">
        <v>571</v>
      </c>
      <c r="N167" s="5"/>
      <c r="O167" s="5"/>
      <c r="P167" s="5"/>
      <c r="R167" s="5"/>
      <c r="S167" s="5"/>
      <c r="V167" s="5"/>
      <c r="W167" s="6" t="s">
        <v>2263</v>
      </c>
    </row>
    <row r="168" spans="1:23" x14ac:dyDescent="0.15">
      <c r="A168" s="2" t="s">
        <v>25</v>
      </c>
      <c r="B168" s="2" t="s">
        <v>3944</v>
      </c>
      <c r="C168" s="2" t="s">
        <v>1059</v>
      </c>
      <c r="D168" s="2" t="s">
        <v>676</v>
      </c>
      <c r="E168" s="1"/>
      <c r="F168" s="2" t="s">
        <v>29</v>
      </c>
      <c r="I168" s="5"/>
      <c r="J168" s="5"/>
      <c r="K168" s="5"/>
      <c r="L168" s="5"/>
      <c r="M168" s="2" t="s">
        <v>571</v>
      </c>
      <c r="N168" s="5"/>
      <c r="O168" s="5"/>
      <c r="P168" s="5"/>
      <c r="R168" s="5"/>
      <c r="S168" s="5"/>
      <c r="V168" s="5"/>
      <c r="W168" s="6" t="s">
        <v>838</v>
      </c>
    </row>
    <row r="169" spans="1:23" x14ac:dyDescent="0.15">
      <c r="A169" s="2" t="s">
        <v>25</v>
      </c>
      <c r="B169" s="2" t="s">
        <v>3944</v>
      </c>
      <c r="C169" s="2" t="s">
        <v>1059</v>
      </c>
      <c r="D169" s="2" t="s">
        <v>677</v>
      </c>
      <c r="E169" s="1"/>
      <c r="F169" s="2" t="s">
        <v>575</v>
      </c>
      <c r="G169" s="2">
        <v>-13.7</v>
      </c>
      <c r="H169" s="2" t="str">
        <f t="shared" si="5"/>
        <v>W</v>
      </c>
      <c r="I169" s="5">
        <v>15.6</v>
      </c>
      <c r="J169" s="8">
        <v>1342.5</v>
      </c>
      <c r="K169" s="5"/>
      <c r="L169" s="5">
        <v>8.6999999999999993</v>
      </c>
      <c r="M169" s="2" t="s">
        <v>571</v>
      </c>
      <c r="N169" s="5">
        <v>37.299999999999997</v>
      </c>
      <c r="O169" s="5">
        <v>20.399999999999999</v>
      </c>
      <c r="P169" s="5">
        <v>9.36</v>
      </c>
      <c r="Q169" s="2" t="s">
        <v>18</v>
      </c>
      <c r="R169" s="5">
        <v>81.430000000000007</v>
      </c>
      <c r="S169" s="5">
        <f>(R169/J169)*100</f>
        <v>6.0655493482309124</v>
      </c>
      <c r="V169" s="5"/>
      <c r="W169" s="6" t="s">
        <v>2152</v>
      </c>
    </row>
    <row r="170" spans="1:23" x14ac:dyDescent="0.15">
      <c r="A170" s="2" t="s">
        <v>25</v>
      </c>
      <c r="B170" s="2" t="s">
        <v>3944</v>
      </c>
      <c r="C170" s="2" t="s">
        <v>1059</v>
      </c>
      <c r="D170" s="2" t="s">
        <v>677</v>
      </c>
      <c r="E170" s="1"/>
      <c r="F170" s="2" t="s">
        <v>374</v>
      </c>
      <c r="G170" s="2" t="s">
        <v>374</v>
      </c>
      <c r="H170" s="2" t="str">
        <f t="shared" si="5"/>
        <v>C</v>
      </c>
      <c r="I170" s="8">
        <v>20.965</v>
      </c>
      <c r="J170" s="5">
        <v>1025.3</v>
      </c>
      <c r="K170" s="5">
        <f>MEDIAN(6,7)</f>
        <v>6.5</v>
      </c>
      <c r="L170" s="5">
        <v>10.199999999999999</v>
      </c>
      <c r="M170" s="2" t="s">
        <v>571</v>
      </c>
      <c r="N170" s="5">
        <v>34.5</v>
      </c>
      <c r="O170" s="5">
        <v>20.7</v>
      </c>
      <c r="P170" s="5">
        <v>8.6999999999999993</v>
      </c>
      <c r="Q170" s="2" t="s">
        <v>18</v>
      </c>
      <c r="R170" s="5">
        <v>87</v>
      </c>
      <c r="S170" s="5">
        <v>8.4849999999999994</v>
      </c>
      <c r="T170" s="2" t="s">
        <v>410</v>
      </c>
      <c r="U170" s="40" t="s">
        <v>395</v>
      </c>
      <c r="V170" s="5"/>
      <c r="W170" s="6" t="s">
        <v>2158</v>
      </c>
    </row>
    <row r="171" spans="1:23" x14ac:dyDescent="0.15">
      <c r="A171" s="2" t="s">
        <v>25</v>
      </c>
      <c r="B171" s="2" t="s">
        <v>3943</v>
      </c>
      <c r="C171" s="2" t="s">
        <v>3471</v>
      </c>
      <c r="D171" s="2" t="s">
        <v>554</v>
      </c>
      <c r="E171" s="1"/>
      <c r="F171" s="2" t="s">
        <v>55</v>
      </c>
      <c r="G171" s="2">
        <v>-24.07</v>
      </c>
      <c r="H171" s="2" t="str">
        <f t="shared" si="5"/>
        <v>W</v>
      </c>
      <c r="I171" s="5">
        <v>14.27</v>
      </c>
      <c r="J171" s="5">
        <v>253.6</v>
      </c>
      <c r="K171" s="5">
        <v>13</v>
      </c>
      <c r="L171" s="5">
        <v>2</v>
      </c>
      <c r="M171" s="2" t="s">
        <v>571</v>
      </c>
      <c r="N171" s="5">
        <v>40.299999999999997</v>
      </c>
      <c r="O171" s="5">
        <v>22.3</v>
      </c>
      <c r="P171" s="5"/>
      <c r="R171" s="5"/>
      <c r="S171" s="5"/>
      <c r="V171" s="5"/>
      <c r="W171" s="6" t="s">
        <v>1760</v>
      </c>
    </row>
    <row r="172" spans="1:23" x14ac:dyDescent="0.15">
      <c r="A172" s="2" t="s">
        <v>25</v>
      </c>
      <c r="B172" s="2" t="s">
        <v>3943</v>
      </c>
      <c r="C172" s="2" t="s">
        <v>3471</v>
      </c>
      <c r="D172" s="2" t="s">
        <v>554</v>
      </c>
      <c r="E172" s="1"/>
      <c r="F172" s="2" t="s">
        <v>54</v>
      </c>
      <c r="G172" s="2">
        <v>-24.07</v>
      </c>
      <c r="H172" s="2" t="str">
        <f t="shared" si="5"/>
        <v>W</v>
      </c>
      <c r="I172" s="5">
        <v>15.1</v>
      </c>
      <c r="J172" s="5">
        <v>293.18</v>
      </c>
      <c r="K172" s="5"/>
      <c r="L172" s="5">
        <v>2</v>
      </c>
      <c r="M172" s="2" t="s">
        <v>571</v>
      </c>
      <c r="N172" s="5">
        <v>42.5</v>
      </c>
      <c r="O172" s="5">
        <v>21.2</v>
      </c>
      <c r="P172" s="5">
        <f xml:space="preserve"> 0.557*N172 + 1.377*O172 - 41.325</f>
        <v>11.539900000000003</v>
      </c>
      <c r="Q172" s="2" t="s">
        <v>376</v>
      </c>
      <c r="R172" s="5">
        <f>P172*L172</f>
        <v>23.079800000000006</v>
      </c>
      <c r="S172" s="5">
        <f>(R172/J172)*100</f>
        <v>7.8722286649839717</v>
      </c>
      <c r="V172" s="5"/>
      <c r="W172" s="6" t="s">
        <v>2160</v>
      </c>
    </row>
    <row r="173" spans="1:23" x14ac:dyDescent="0.15">
      <c r="A173" s="2" t="s">
        <v>25</v>
      </c>
      <c r="B173" s="2" t="s">
        <v>3943</v>
      </c>
      <c r="C173" s="2" t="s">
        <v>3471</v>
      </c>
      <c r="D173" s="2" t="s">
        <v>554</v>
      </c>
      <c r="E173" s="1"/>
      <c r="F173" s="2" t="s">
        <v>26</v>
      </c>
      <c r="G173" s="2">
        <v>-24.13</v>
      </c>
      <c r="H173" s="2" t="str">
        <f t="shared" si="5"/>
        <v>W</v>
      </c>
      <c r="I173" s="5"/>
      <c r="J173" s="5"/>
      <c r="K173" s="5">
        <v>9.5</v>
      </c>
      <c r="L173" s="5"/>
      <c r="M173" s="2" t="s">
        <v>571</v>
      </c>
      <c r="N173" s="5"/>
      <c r="O173" s="5"/>
      <c r="P173" s="5"/>
      <c r="R173" s="5"/>
      <c r="S173" s="5"/>
      <c r="V173" s="5"/>
      <c r="W173" s="6" t="s">
        <v>3351</v>
      </c>
    </row>
    <row r="174" spans="1:23" x14ac:dyDescent="0.15">
      <c r="A174" s="2" t="s">
        <v>25</v>
      </c>
      <c r="B174" s="2" t="s">
        <v>3943</v>
      </c>
      <c r="C174" s="2" t="s">
        <v>3471</v>
      </c>
      <c r="D174" s="2" t="s">
        <v>554</v>
      </c>
      <c r="E174" s="1"/>
      <c r="F174" s="2" t="s">
        <v>26</v>
      </c>
      <c r="G174" s="2">
        <v>-24.1</v>
      </c>
      <c r="H174" s="2" t="str">
        <f t="shared" si="5"/>
        <v>W</v>
      </c>
      <c r="I174" s="5">
        <v>14.69</v>
      </c>
      <c r="J174" s="5">
        <v>285.89999999999998</v>
      </c>
      <c r="K174" s="5"/>
      <c r="L174" s="7">
        <f>MEDIAN(2,3)</f>
        <v>2.5</v>
      </c>
      <c r="M174" s="2" t="s">
        <v>571</v>
      </c>
      <c r="N174" s="5">
        <v>41</v>
      </c>
      <c r="O174" s="5">
        <v>23</v>
      </c>
      <c r="P174" s="5">
        <f xml:space="preserve"> 0.557*N174 + 1.377*O174 - 41.325</f>
        <v>13.183</v>
      </c>
      <c r="Q174" s="2" t="s">
        <v>376</v>
      </c>
      <c r="R174" s="5">
        <v>32.96</v>
      </c>
      <c r="S174" s="5">
        <v>11.53</v>
      </c>
      <c r="V174" s="5"/>
      <c r="W174" s="6" t="s">
        <v>3282</v>
      </c>
    </row>
    <row r="175" spans="1:23" x14ac:dyDescent="0.15">
      <c r="A175" s="2" t="s">
        <v>25</v>
      </c>
      <c r="B175" s="2" t="s">
        <v>3943</v>
      </c>
      <c r="C175" s="2" t="s">
        <v>3471</v>
      </c>
      <c r="D175" s="2" t="s">
        <v>554</v>
      </c>
      <c r="E175" s="1"/>
      <c r="F175" s="2" t="s">
        <v>54</v>
      </c>
      <c r="G175" s="2">
        <f>-24.05</f>
        <v>-24.05</v>
      </c>
      <c r="H175" s="2" t="str">
        <f t="shared" si="5"/>
        <v>W</v>
      </c>
      <c r="I175" s="5"/>
      <c r="J175" s="5"/>
      <c r="K175" s="5"/>
      <c r="L175" s="5">
        <v>3</v>
      </c>
      <c r="M175" s="2" t="s">
        <v>571</v>
      </c>
      <c r="N175" s="5">
        <v>40</v>
      </c>
      <c r="O175" s="5">
        <v>25</v>
      </c>
      <c r="P175" s="5">
        <f xml:space="preserve"> 0.557*N175 + 1.377*O175 - 41.325</f>
        <v>15.379999999999995</v>
      </c>
      <c r="Q175" s="2" t="s">
        <v>376</v>
      </c>
      <c r="R175" s="5">
        <f>P175*L175</f>
        <v>46.139999999999986</v>
      </c>
      <c r="S175" s="5"/>
      <c r="V175" s="5"/>
      <c r="W175" s="6" t="s">
        <v>2161</v>
      </c>
    </row>
    <row r="176" spans="1:23" x14ac:dyDescent="0.15">
      <c r="A176" s="2" t="s">
        <v>25</v>
      </c>
      <c r="B176" s="2" t="s">
        <v>3943</v>
      </c>
      <c r="C176" s="2" t="s">
        <v>3471</v>
      </c>
      <c r="D176" s="2" t="s">
        <v>415</v>
      </c>
      <c r="E176" s="1"/>
      <c r="F176" s="2" t="s">
        <v>552</v>
      </c>
      <c r="G176" s="2">
        <v>-32.799999999999997</v>
      </c>
      <c r="H176" s="2" t="str">
        <f t="shared" si="5"/>
        <v>W</v>
      </c>
      <c r="I176" s="5"/>
      <c r="J176" s="5"/>
      <c r="K176" s="5"/>
      <c r="L176" s="5">
        <v>11</v>
      </c>
      <c r="M176" s="5" t="s">
        <v>571</v>
      </c>
      <c r="N176" s="5">
        <v>36.549999999999997</v>
      </c>
      <c r="O176" s="7">
        <v>24</v>
      </c>
      <c r="P176" s="5">
        <v>12.5</v>
      </c>
      <c r="Q176" s="2" t="s">
        <v>18</v>
      </c>
      <c r="R176" s="5">
        <v>137.5</v>
      </c>
      <c r="S176" s="5"/>
      <c r="V176" s="5"/>
      <c r="W176" s="6" t="s">
        <v>2162</v>
      </c>
    </row>
    <row r="177" spans="1:23" x14ac:dyDescent="0.15">
      <c r="A177" s="2" t="s">
        <v>25</v>
      </c>
      <c r="B177" s="2" t="s">
        <v>3943</v>
      </c>
      <c r="C177" s="2" t="s">
        <v>3471</v>
      </c>
      <c r="D177" s="2" t="s">
        <v>415</v>
      </c>
      <c r="E177" s="1"/>
      <c r="F177" s="2" t="s">
        <v>374</v>
      </c>
      <c r="G177" s="2" t="s">
        <v>374</v>
      </c>
      <c r="H177" s="2" t="str">
        <f t="shared" si="5"/>
        <v>C</v>
      </c>
      <c r="I177" s="5">
        <v>25.5</v>
      </c>
      <c r="J177" s="5">
        <v>1800</v>
      </c>
      <c r="K177" s="5"/>
      <c r="L177" s="5">
        <v>14</v>
      </c>
      <c r="M177" s="5" t="s">
        <v>571</v>
      </c>
      <c r="N177" s="5">
        <v>36.5</v>
      </c>
      <c r="O177" s="7">
        <v>23.97</v>
      </c>
      <c r="P177" s="5">
        <v>10.964</v>
      </c>
      <c r="Q177" s="2" t="s">
        <v>18</v>
      </c>
      <c r="R177" s="5">
        <v>153.5</v>
      </c>
      <c r="S177" s="5">
        <v>8.5299999999999994</v>
      </c>
      <c r="V177" s="5"/>
      <c r="W177" s="6" t="s">
        <v>3852</v>
      </c>
    </row>
    <row r="178" spans="1:23" x14ac:dyDescent="0.15">
      <c r="A178" s="2" t="s">
        <v>25</v>
      </c>
      <c r="B178" s="2" t="s">
        <v>3943</v>
      </c>
      <c r="C178" s="2" t="s">
        <v>3471</v>
      </c>
      <c r="D178" s="2" t="s">
        <v>415</v>
      </c>
      <c r="E178" s="1"/>
      <c r="F178" s="2" t="s">
        <v>374</v>
      </c>
      <c r="G178" s="2" t="s">
        <v>374</v>
      </c>
      <c r="H178" s="2" t="str">
        <f t="shared" si="5"/>
        <v>C</v>
      </c>
      <c r="I178" s="5">
        <v>24.17</v>
      </c>
      <c r="J178" s="5">
        <v>1528.63</v>
      </c>
      <c r="K178" s="5"/>
      <c r="L178" s="5">
        <v>9.9</v>
      </c>
      <c r="M178" s="5" t="s">
        <v>571</v>
      </c>
      <c r="N178" s="5">
        <v>41.5</v>
      </c>
      <c r="O178" s="5">
        <v>25.8</v>
      </c>
      <c r="P178" s="5">
        <v>16.8</v>
      </c>
      <c r="Q178" s="2" t="s">
        <v>18</v>
      </c>
      <c r="R178" s="5">
        <f>P178*L178</f>
        <v>166.32000000000002</v>
      </c>
      <c r="S178" s="5">
        <f>(R178/J178)*100</f>
        <v>10.880330753681401</v>
      </c>
      <c r="V178" s="5"/>
      <c r="W178" s="6" t="s">
        <v>3547</v>
      </c>
    </row>
    <row r="179" spans="1:23" x14ac:dyDescent="0.15">
      <c r="A179" s="2" t="s">
        <v>25</v>
      </c>
      <c r="B179" s="2" t="s">
        <v>3943</v>
      </c>
      <c r="C179" s="2" t="s">
        <v>3471</v>
      </c>
      <c r="D179" s="2" t="s">
        <v>415</v>
      </c>
      <c r="E179" s="1"/>
      <c r="F179" s="2" t="s">
        <v>374</v>
      </c>
      <c r="G179" s="2" t="s">
        <v>374</v>
      </c>
      <c r="H179" s="2" t="str">
        <f t="shared" si="5"/>
        <v>C</v>
      </c>
      <c r="I179" s="5">
        <v>22</v>
      </c>
      <c r="J179" s="5">
        <v>1500</v>
      </c>
      <c r="K179" s="5"/>
      <c r="L179" s="5">
        <v>20</v>
      </c>
      <c r="M179" s="5" t="s">
        <v>571</v>
      </c>
      <c r="N179" s="5"/>
      <c r="O179" s="5"/>
      <c r="P179" s="5"/>
      <c r="R179" s="5"/>
      <c r="S179" s="5"/>
      <c r="V179" s="5"/>
      <c r="W179" s="6" t="s">
        <v>3548</v>
      </c>
    </row>
    <row r="180" spans="1:23" x14ac:dyDescent="0.15">
      <c r="A180" s="2" t="s">
        <v>25</v>
      </c>
      <c r="B180" s="2" t="s">
        <v>3943</v>
      </c>
      <c r="C180" s="2" t="s">
        <v>3471</v>
      </c>
      <c r="D180" s="2" t="s">
        <v>415</v>
      </c>
      <c r="E180" s="1"/>
      <c r="F180" s="2" t="s">
        <v>56</v>
      </c>
      <c r="G180" s="2">
        <v>-32.799999999999997</v>
      </c>
      <c r="H180" s="2" t="str">
        <f t="shared" si="5"/>
        <v>W</v>
      </c>
      <c r="I180" s="5"/>
      <c r="J180" s="5"/>
      <c r="K180" s="5"/>
      <c r="L180" s="5">
        <v>11.6</v>
      </c>
      <c r="M180" s="2" t="s">
        <v>571</v>
      </c>
      <c r="N180" s="5">
        <v>36.4</v>
      </c>
      <c r="O180" s="5">
        <v>23.9</v>
      </c>
      <c r="P180" s="5">
        <v>11.1</v>
      </c>
      <c r="Q180" s="2" t="s">
        <v>18</v>
      </c>
      <c r="R180" s="5">
        <f>P180*L180</f>
        <v>128.76</v>
      </c>
      <c r="S180" s="5"/>
      <c r="V180" s="5"/>
      <c r="W180" s="6" t="s">
        <v>1883</v>
      </c>
    </row>
    <row r="181" spans="1:23" x14ac:dyDescent="0.15">
      <c r="A181" s="2" t="s">
        <v>25</v>
      </c>
      <c r="B181" s="2" t="s">
        <v>3943</v>
      </c>
      <c r="C181" s="2" t="s">
        <v>3471</v>
      </c>
      <c r="D181" s="2" t="s">
        <v>415</v>
      </c>
      <c r="E181" s="1"/>
      <c r="F181" s="2" t="s">
        <v>374</v>
      </c>
      <c r="G181" s="2" t="s">
        <v>374</v>
      </c>
      <c r="H181" s="2" t="str">
        <f t="shared" si="5"/>
        <v>C</v>
      </c>
      <c r="I181" s="5"/>
      <c r="J181" s="5"/>
      <c r="K181" s="5"/>
      <c r="L181" s="5"/>
      <c r="M181" s="2" t="s">
        <v>571</v>
      </c>
      <c r="N181" s="5">
        <v>36</v>
      </c>
      <c r="O181" s="5">
        <v>28</v>
      </c>
      <c r="P181" s="5">
        <v>11</v>
      </c>
      <c r="Q181" s="2" t="s">
        <v>18</v>
      </c>
      <c r="R181" s="5"/>
      <c r="S181" s="5"/>
      <c r="V181" s="5"/>
      <c r="W181" s="6" t="s">
        <v>2159</v>
      </c>
    </row>
    <row r="182" spans="1:23" x14ac:dyDescent="0.15">
      <c r="A182" s="2" t="s">
        <v>25</v>
      </c>
      <c r="B182" s="2" t="s">
        <v>3943</v>
      </c>
      <c r="C182" s="2" t="s">
        <v>3471</v>
      </c>
      <c r="D182" s="2" t="s">
        <v>415</v>
      </c>
      <c r="E182" s="1"/>
      <c r="F182" s="2" t="s">
        <v>600</v>
      </c>
      <c r="G182" s="2" t="s">
        <v>374</v>
      </c>
      <c r="H182" s="2" t="str">
        <f t="shared" si="5"/>
        <v>C</v>
      </c>
      <c r="I182" s="5"/>
      <c r="J182" s="5"/>
      <c r="K182" s="7">
        <f>MEDIAN(5,7)</f>
        <v>6</v>
      </c>
      <c r="L182" s="5">
        <v>9.15</v>
      </c>
      <c r="M182" s="5" t="s">
        <v>571</v>
      </c>
      <c r="N182" s="5">
        <v>38</v>
      </c>
      <c r="O182" s="5">
        <v>22</v>
      </c>
      <c r="P182" s="5">
        <f xml:space="preserve"> 0.557*N182 + 1.377*O182 - 41.325</f>
        <v>10.134999999999998</v>
      </c>
      <c r="Q182" s="2" t="s">
        <v>376</v>
      </c>
      <c r="R182" s="5">
        <f>P182*L182</f>
        <v>92.735249999999979</v>
      </c>
      <c r="S182" s="5"/>
      <c r="T182" s="2">
        <v>1</v>
      </c>
      <c r="U182" s="2" t="str">
        <f>IF(T182&lt;=1, "1",IF(AND(T182&gt;1,T182&lt;4), "2-3", "+4"))</f>
        <v>1</v>
      </c>
      <c r="V182" s="5"/>
      <c r="W182" s="6" t="s">
        <v>2163</v>
      </c>
    </row>
    <row r="183" spans="1:23" x14ac:dyDescent="0.15">
      <c r="A183" s="2" t="s">
        <v>25</v>
      </c>
      <c r="B183" s="2" t="s">
        <v>3942</v>
      </c>
      <c r="C183" s="2" t="s">
        <v>1065</v>
      </c>
      <c r="D183" s="2" t="s">
        <v>405</v>
      </c>
      <c r="E183" s="1"/>
      <c r="F183" s="2" t="s">
        <v>406</v>
      </c>
      <c r="H183" s="2" t="s">
        <v>3887</v>
      </c>
      <c r="I183" s="5"/>
      <c r="J183" s="5"/>
      <c r="K183" s="5"/>
      <c r="L183" s="5">
        <v>12</v>
      </c>
      <c r="M183" s="2" t="s">
        <v>571</v>
      </c>
      <c r="N183" s="5">
        <v>34.299999999999997</v>
      </c>
      <c r="O183" s="5">
        <v>28.8</v>
      </c>
      <c r="P183" s="5">
        <v>16.3</v>
      </c>
      <c r="Q183" s="2" t="s">
        <v>18</v>
      </c>
      <c r="R183" s="5">
        <v>195.6</v>
      </c>
      <c r="S183" s="5"/>
      <c r="T183" s="2" t="s">
        <v>407</v>
      </c>
      <c r="U183" s="40" t="s">
        <v>395</v>
      </c>
      <c r="V183" s="5"/>
      <c r="W183" s="6" t="s">
        <v>2164</v>
      </c>
    </row>
    <row r="184" spans="1:23" x14ac:dyDescent="0.15">
      <c r="A184" s="2" t="s">
        <v>25</v>
      </c>
      <c r="B184" s="2" t="s">
        <v>3942</v>
      </c>
      <c r="C184" s="2" t="s">
        <v>1065</v>
      </c>
      <c r="D184" s="2" t="s">
        <v>405</v>
      </c>
      <c r="E184" s="1"/>
      <c r="F184" s="2" t="s">
        <v>219</v>
      </c>
      <c r="G184" s="2">
        <v>9</v>
      </c>
      <c r="H184" s="2" t="str">
        <f t="shared" si="5"/>
        <v>W</v>
      </c>
      <c r="I184" s="5">
        <v>19.059999999999999</v>
      </c>
      <c r="J184" s="5">
        <f xml:space="preserve"> 0.00051342*(I184*10)^2.6584</f>
        <v>591.49556124380047</v>
      </c>
      <c r="K184" s="5"/>
      <c r="L184" s="5">
        <v>4</v>
      </c>
      <c r="M184" s="2" t="s">
        <v>571</v>
      </c>
      <c r="N184" s="5">
        <v>32.04</v>
      </c>
      <c r="O184" s="5">
        <v>26.57</v>
      </c>
      <c r="P184" s="5">
        <f xml:space="preserve"> (0.355*N184) + (0.591*O184) - 11.815</f>
        <v>15.26207</v>
      </c>
      <c r="Q184" s="2" t="s">
        <v>376</v>
      </c>
      <c r="R184" s="5">
        <f>P184*L184</f>
        <v>61.048279999999998</v>
      </c>
      <c r="S184" s="5">
        <f>(R184/J184)*100</f>
        <v>10.321003909416886</v>
      </c>
      <c r="V184" s="5"/>
      <c r="W184" s="6" t="s">
        <v>1884</v>
      </c>
    </row>
    <row r="185" spans="1:23" x14ac:dyDescent="0.15">
      <c r="A185" s="2" t="s">
        <v>25</v>
      </c>
      <c r="B185" s="2" t="s">
        <v>3942</v>
      </c>
      <c r="C185" s="2" t="s">
        <v>1065</v>
      </c>
      <c r="D185" s="2" t="s">
        <v>405</v>
      </c>
      <c r="E185" s="1"/>
      <c r="F185" s="2" t="s">
        <v>219</v>
      </c>
      <c r="H185" s="2" t="s">
        <v>3887</v>
      </c>
      <c r="I185" s="5"/>
      <c r="J185" s="5"/>
      <c r="K185" s="5"/>
      <c r="L185" s="5">
        <f>MEDIAN(5,12)</f>
        <v>8.5</v>
      </c>
      <c r="M185" s="2" t="s">
        <v>571</v>
      </c>
      <c r="N185" s="5">
        <v>32</v>
      </c>
      <c r="O185" s="5">
        <v>25</v>
      </c>
      <c r="P185" s="5">
        <f xml:space="preserve"> (0.355*N185) + (0.591*O185) - 11.815</f>
        <v>14.319999999999999</v>
      </c>
      <c r="Q185" s="2" t="s">
        <v>376</v>
      </c>
      <c r="R185" s="5">
        <f>P185*L185</f>
        <v>121.71999999999998</v>
      </c>
      <c r="S185" s="5"/>
      <c r="V185" s="5"/>
      <c r="W185" s="6" t="s">
        <v>2165</v>
      </c>
    </row>
    <row r="186" spans="1:23" x14ac:dyDescent="0.15">
      <c r="A186" s="2" t="s">
        <v>25</v>
      </c>
      <c r="B186" s="2" t="s">
        <v>3942</v>
      </c>
      <c r="C186" s="2" t="s">
        <v>1065</v>
      </c>
      <c r="D186" s="2" t="s">
        <v>532</v>
      </c>
      <c r="E186" s="1"/>
      <c r="F186" s="2" t="s">
        <v>374</v>
      </c>
      <c r="G186" s="2" t="s">
        <v>374</v>
      </c>
      <c r="H186" s="2" t="str">
        <f t="shared" si="5"/>
        <v>C</v>
      </c>
      <c r="I186" s="5">
        <v>21.8</v>
      </c>
      <c r="J186" s="5">
        <f xml:space="preserve"> 0.00051342*(I186*10)^2.6584</f>
        <v>845.32852654772103</v>
      </c>
      <c r="K186" s="5"/>
      <c r="L186" s="5">
        <v>3.92</v>
      </c>
      <c r="M186" s="5" t="s">
        <v>571</v>
      </c>
      <c r="N186" s="5">
        <v>42.09</v>
      </c>
      <c r="O186" s="5">
        <v>27.05</v>
      </c>
      <c r="P186" s="5">
        <v>19.37</v>
      </c>
      <c r="Q186" s="2" t="s">
        <v>376</v>
      </c>
      <c r="R186" s="5">
        <v>75.92</v>
      </c>
      <c r="S186" s="5">
        <f>(R186/J186)*100</f>
        <v>8.9811236242142982</v>
      </c>
      <c r="T186" s="2" t="s">
        <v>382</v>
      </c>
      <c r="U186" s="40" t="s">
        <v>395</v>
      </c>
      <c r="V186" s="5"/>
      <c r="W186" s="6" t="s">
        <v>2166</v>
      </c>
    </row>
    <row r="187" spans="1:23" x14ac:dyDescent="0.15">
      <c r="A187" s="2" t="s">
        <v>25</v>
      </c>
      <c r="B187" s="2" t="s">
        <v>3942</v>
      </c>
      <c r="C187" s="2" t="s">
        <v>1065</v>
      </c>
      <c r="D187" s="2" t="s">
        <v>532</v>
      </c>
      <c r="E187" s="1"/>
      <c r="F187" s="2" t="s">
        <v>374</v>
      </c>
      <c r="G187" s="2" t="s">
        <v>374</v>
      </c>
      <c r="H187" s="2" t="str">
        <f t="shared" si="5"/>
        <v>C</v>
      </c>
      <c r="I187" s="5">
        <v>18.45</v>
      </c>
      <c r="J187" s="5">
        <v>706.84</v>
      </c>
      <c r="K187" s="5"/>
      <c r="L187" s="5">
        <v>3</v>
      </c>
      <c r="M187" s="2" t="s">
        <v>571</v>
      </c>
      <c r="N187" s="5">
        <v>45.54</v>
      </c>
      <c r="O187" s="5">
        <v>30.15</v>
      </c>
      <c r="P187" s="5">
        <v>25.88</v>
      </c>
      <c r="Q187" s="2" t="s">
        <v>18</v>
      </c>
      <c r="R187" s="5">
        <v>77.64</v>
      </c>
      <c r="S187" s="5">
        <f>(R187/J187)*100</f>
        <v>10.984098240054326</v>
      </c>
      <c r="T187" s="2">
        <v>1.5</v>
      </c>
      <c r="U187" s="2" t="str">
        <f>IF(T187&lt;=1, "1",IF(AND(T187&gt;1,T187&lt;4), "2-3", "+4"))</f>
        <v>2-3</v>
      </c>
      <c r="V187" s="5">
        <v>16.48</v>
      </c>
      <c r="W187" s="6" t="s">
        <v>2772</v>
      </c>
    </row>
    <row r="188" spans="1:23" x14ac:dyDescent="0.15">
      <c r="A188" s="2" t="s">
        <v>25</v>
      </c>
      <c r="B188" s="2" t="s">
        <v>3942</v>
      </c>
      <c r="C188" s="2" t="s">
        <v>1065</v>
      </c>
      <c r="D188" s="2" t="s">
        <v>532</v>
      </c>
      <c r="E188" s="1"/>
      <c r="F188" s="2" t="s">
        <v>374</v>
      </c>
      <c r="G188" s="2" t="s">
        <v>374</v>
      </c>
      <c r="H188" s="2" t="str">
        <f t="shared" si="5"/>
        <v>C</v>
      </c>
      <c r="I188" s="5">
        <v>17.399999999999999</v>
      </c>
      <c r="J188" s="5">
        <v>608</v>
      </c>
      <c r="K188" s="7">
        <v>7</v>
      </c>
      <c r="L188" s="5">
        <v>3.6</v>
      </c>
      <c r="M188" s="2" t="s">
        <v>571</v>
      </c>
      <c r="N188" s="5">
        <v>40.32</v>
      </c>
      <c r="O188" s="5">
        <v>25.91</v>
      </c>
      <c r="P188" s="5">
        <v>16.95</v>
      </c>
      <c r="Q188" s="2" t="s">
        <v>18</v>
      </c>
      <c r="R188" s="5">
        <v>61.04</v>
      </c>
      <c r="S188" s="5">
        <v>10.039999999999999</v>
      </c>
      <c r="V188" s="5"/>
      <c r="W188" s="6" t="s">
        <v>2773</v>
      </c>
    </row>
    <row r="189" spans="1:23" x14ac:dyDescent="0.15">
      <c r="A189" s="2" t="s">
        <v>25</v>
      </c>
      <c r="B189" s="2" t="s">
        <v>3942</v>
      </c>
      <c r="C189" s="2" t="s">
        <v>1065</v>
      </c>
      <c r="D189" s="2" t="s">
        <v>532</v>
      </c>
      <c r="E189" s="1"/>
      <c r="F189" s="2" t="s">
        <v>219</v>
      </c>
      <c r="G189" s="2" t="s">
        <v>374</v>
      </c>
      <c r="H189" s="2" t="str">
        <f t="shared" si="5"/>
        <v>C</v>
      </c>
      <c r="I189" s="5">
        <v>18.3</v>
      </c>
      <c r="J189" s="5">
        <v>700</v>
      </c>
      <c r="K189" s="5"/>
      <c r="L189" s="5">
        <v>3</v>
      </c>
      <c r="M189" s="2" t="s">
        <v>571</v>
      </c>
      <c r="N189" s="5">
        <v>44.5</v>
      </c>
      <c r="O189" s="5">
        <v>30</v>
      </c>
      <c r="P189" s="5">
        <v>24.57</v>
      </c>
      <c r="Q189" s="2" t="s">
        <v>18</v>
      </c>
      <c r="R189" s="5">
        <v>73.709999999999994</v>
      </c>
      <c r="S189" s="5">
        <v>10.53</v>
      </c>
      <c r="V189" s="5"/>
      <c r="W189" s="6" t="s">
        <v>2446</v>
      </c>
    </row>
    <row r="190" spans="1:23" x14ac:dyDescent="0.15">
      <c r="A190" s="2" t="s">
        <v>25</v>
      </c>
      <c r="B190" s="2" t="s">
        <v>3942</v>
      </c>
      <c r="C190" s="2" t="s">
        <v>1065</v>
      </c>
      <c r="D190" s="2" t="s">
        <v>532</v>
      </c>
      <c r="E190" s="1"/>
      <c r="F190" s="2" t="s">
        <v>374</v>
      </c>
      <c r="G190" s="2" t="s">
        <v>374</v>
      </c>
      <c r="H190" s="2" t="str">
        <f t="shared" si="5"/>
        <v>C</v>
      </c>
      <c r="I190" s="5"/>
      <c r="J190" s="5"/>
      <c r="K190" s="7"/>
      <c r="L190" s="5">
        <v>2.96</v>
      </c>
      <c r="M190" s="5" t="s">
        <v>571</v>
      </c>
      <c r="N190" s="5">
        <v>40</v>
      </c>
      <c r="O190" s="5">
        <v>28</v>
      </c>
      <c r="P190" s="5">
        <f xml:space="preserve"> (0.557*N190) + (1.377*O190) - 41.325</f>
        <v>19.510999999999996</v>
      </c>
      <c r="Q190" s="2" t="s">
        <v>376</v>
      </c>
      <c r="R190" s="5">
        <f>P190*L190</f>
        <v>57.752559999999988</v>
      </c>
      <c r="S190" s="5"/>
      <c r="V190" s="5"/>
      <c r="W190" s="6" t="s">
        <v>3849</v>
      </c>
    </row>
    <row r="191" spans="1:23" x14ac:dyDescent="0.15">
      <c r="A191" s="2" t="s">
        <v>25</v>
      </c>
      <c r="B191" s="2" t="s">
        <v>3942</v>
      </c>
      <c r="C191" s="2" t="s">
        <v>1065</v>
      </c>
      <c r="D191" s="2" t="s">
        <v>532</v>
      </c>
      <c r="E191" s="1"/>
      <c r="F191" s="2" t="s">
        <v>219</v>
      </c>
      <c r="G191" s="2">
        <v>1.62</v>
      </c>
      <c r="H191" s="2" t="str">
        <f t="shared" si="5"/>
        <v>W</v>
      </c>
      <c r="I191" s="5">
        <v>19.600000000000001</v>
      </c>
      <c r="J191" s="5">
        <f xml:space="preserve"> 0.00051342*(I191*10)^2.6584</f>
        <v>637.09811843604916</v>
      </c>
      <c r="K191" s="5"/>
      <c r="L191" s="5">
        <v>4</v>
      </c>
      <c r="M191" s="2" t="s">
        <v>571</v>
      </c>
      <c r="N191" s="5">
        <v>43.13</v>
      </c>
      <c r="O191" s="5">
        <v>29.88</v>
      </c>
      <c r="P191" s="5">
        <v>23.63</v>
      </c>
      <c r="Q191" s="2" t="s">
        <v>18</v>
      </c>
      <c r="R191" s="5">
        <v>94.5</v>
      </c>
      <c r="S191" s="5">
        <f>(R191/J191)*100</f>
        <v>14.832880095765933</v>
      </c>
      <c r="V191" s="5"/>
      <c r="W191" s="6" t="s">
        <v>2771</v>
      </c>
    </row>
    <row r="192" spans="1:23" x14ac:dyDescent="0.15">
      <c r="A192" s="2" t="s">
        <v>25</v>
      </c>
      <c r="B192" s="2" t="s">
        <v>3942</v>
      </c>
      <c r="C192" s="2" t="s">
        <v>1065</v>
      </c>
      <c r="D192" s="2" t="s">
        <v>679</v>
      </c>
      <c r="E192" s="1"/>
      <c r="F192" s="2" t="s">
        <v>57</v>
      </c>
      <c r="G192" s="2">
        <v>3.65</v>
      </c>
      <c r="H192" s="2" t="str">
        <f t="shared" si="5"/>
        <v>W</v>
      </c>
      <c r="I192" s="5">
        <v>17.78</v>
      </c>
      <c r="J192" s="5">
        <v>491.7</v>
      </c>
      <c r="K192" s="5"/>
      <c r="L192" s="5">
        <v>1</v>
      </c>
      <c r="M192" s="2" t="s">
        <v>571</v>
      </c>
      <c r="N192" s="5">
        <v>63.8</v>
      </c>
      <c r="O192" s="5">
        <v>35.4</v>
      </c>
      <c r="P192" s="5">
        <v>45.8</v>
      </c>
      <c r="Q192" s="2" t="s">
        <v>18</v>
      </c>
      <c r="R192" s="5">
        <f>L192*P192</f>
        <v>45.8</v>
      </c>
      <c r="S192" s="5">
        <f>(R192/J192)*100</f>
        <v>9.3146227374415282</v>
      </c>
      <c r="V192" s="5"/>
      <c r="W192" s="6" t="s">
        <v>1762</v>
      </c>
    </row>
    <row r="193" spans="1:23" x14ac:dyDescent="0.15">
      <c r="A193" s="2" t="s">
        <v>25</v>
      </c>
      <c r="B193" s="2" t="s">
        <v>3942</v>
      </c>
      <c r="C193" s="2" t="s">
        <v>1065</v>
      </c>
      <c r="D193" s="2" t="s">
        <v>679</v>
      </c>
      <c r="E193" s="1"/>
      <c r="F193" s="2" t="s">
        <v>219</v>
      </c>
      <c r="G193" s="2" t="s">
        <v>374</v>
      </c>
      <c r="H193" s="2" t="str">
        <f t="shared" ref="H193:H219" si="6">IF(G193="captive","C","W")</f>
        <v>C</v>
      </c>
      <c r="I193" s="5"/>
      <c r="J193" s="5"/>
      <c r="K193" s="5"/>
      <c r="L193" s="5">
        <v>7</v>
      </c>
      <c r="M193" s="2" t="s">
        <v>571</v>
      </c>
      <c r="N193" s="5"/>
      <c r="O193" s="5">
        <v>26</v>
      </c>
      <c r="P193" s="5">
        <v>10.7</v>
      </c>
      <c r="Q193" s="2" t="s">
        <v>18</v>
      </c>
      <c r="R193" s="5">
        <v>74.900000000000006</v>
      </c>
      <c r="S193" s="5"/>
      <c r="V193" s="5"/>
      <c r="W193" s="6" t="s">
        <v>3612</v>
      </c>
    </row>
    <row r="194" spans="1:23" x14ac:dyDescent="0.15">
      <c r="A194" s="2" t="s">
        <v>25</v>
      </c>
      <c r="B194" s="2" t="s">
        <v>3942</v>
      </c>
      <c r="C194" s="2" t="s">
        <v>1065</v>
      </c>
      <c r="D194" s="2" t="s">
        <v>680</v>
      </c>
      <c r="E194" s="1"/>
      <c r="F194" s="2" t="s">
        <v>29</v>
      </c>
      <c r="G194" s="2" t="s">
        <v>838</v>
      </c>
      <c r="H194" s="2" t="str">
        <f t="shared" si="6"/>
        <v>W</v>
      </c>
      <c r="I194" s="5"/>
      <c r="J194" s="5"/>
      <c r="K194" s="5"/>
      <c r="L194" s="5"/>
      <c r="M194" s="2" t="s">
        <v>571</v>
      </c>
      <c r="N194" s="5"/>
      <c r="O194" s="5"/>
      <c r="P194" s="5"/>
      <c r="R194" s="5"/>
      <c r="S194" s="5"/>
      <c r="V194" s="5"/>
      <c r="W194" s="6" t="s">
        <v>838</v>
      </c>
    </row>
    <row r="195" spans="1:23" x14ac:dyDescent="0.15">
      <c r="A195" s="1" t="s">
        <v>25</v>
      </c>
      <c r="B195" s="2" t="s">
        <v>3942</v>
      </c>
      <c r="C195" s="1" t="s">
        <v>1065</v>
      </c>
      <c r="D195" s="1" t="s">
        <v>489</v>
      </c>
      <c r="E195" s="1"/>
      <c r="F195" s="1" t="s">
        <v>374</v>
      </c>
      <c r="G195" s="1" t="s">
        <v>374</v>
      </c>
      <c r="H195" s="2" t="str">
        <f t="shared" si="6"/>
        <v>C</v>
      </c>
      <c r="I195" s="8">
        <v>26.5</v>
      </c>
      <c r="J195" s="8">
        <v>1850</v>
      </c>
      <c r="K195" s="8"/>
      <c r="L195" s="8">
        <v>6.5</v>
      </c>
      <c r="M195" s="2" t="s">
        <v>571</v>
      </c>
      <c r="N195" s="8">
        <v>38.5</v>
      </c>
      <c r="O195" s="8">
        <v>28.25</v>
      </c>
      <c r="P195" s="8">
        <v>30.33</v>
      </c>
      <c r="Q195" s="1" t="s">
        <v>18</v>
      </c>
      <c r="R195" s="8">
        <v>132.14500000000001</v>
      </c>
      <c r="S195" s="8">
        <v>7.1429999999999998</v>
      </c>
      <c r="T195" s="1">
        <v>2</v>
      </c>
      <c r="U195" s="2" t="str">
        <f>IF(T195&lt;=1, "1",IF(AND(T195&gt;1,T195&lt;4), "2-3", "+4"))</f>
        <v>2-3</v>
      </c>
      <c r="V195" s="8">
        <v>14.286</v>
      </c>
      <c r="W195" s="6" t="s">
        <v>3862</v>
      </c>
    </row>
    <row r="196" spans="1:23" x14ac:dyDescent="0.15">
      <c r="A196" s="2" t="s">
        <v>25</v>
      </c>
      <c r="B196" s="2" t="s">
        <v>3942</v>
      </c>
      <c r="C196" s="2" t="s">
        <v>1065</v>
      </c>
      <c r="D196" s="1" t="s">
        <v>489</v>
      </c>
      <c r="E196" s="1"/>
      <c r="F196" s="2" t="s">
        <v>369</v>
      </c>
      <c r="G196" s="2">
        <v>-12.44</v>
      </c>
      <c r="H196" s="2" t="str">
        <f t="shared" si="6"/>
        <v>W</v>
      </c>
      <c r="I196" s="5">
        <v>28.1</v>
      </c>
      <c r="J196" s="5">
        <v>2180</v>
      </c>
      <c r="K196" s="5"/>
      <c r="L196" s="5">
        <v>5.6</v>
      </c>
      <c r="M196" s="2" t="s">
        <v>571</v>
      </c>
      <c r="N196" s="5">
        <v>41.53</v>
      </c>
      <c r="O196" s="5">
        <v>33.630000000000003</v>
      </c>
      <c r="P196" s="5">
        <v>30.17</v>
      </c>
      <c r="Q196" s="2" t="s">
        <v>18</v>
      </c>
      <c r="R196" s="5">
        <v>168.95</v>
      </c>
      <c r="S196" s="5">
        <v>7.75</v>
      </c>
      <c r="V196" s="5"/>
      <c r="W196" s="6" t="s">
        <v>2167</v>
      </c>
    </row>
    <row r="197" spans="1:23" x14ac:dyDescent="0.15">
      <c r="A197" s="1" t="s">
        <v>25</v>
      </c>
      <c r="B197" s="2" t="s">
        <v>3942</v>
      </c>
      <c r="C197" s="2" t="s">
        <v>1065</v>
      </c>
      <c r="D197" s="1" t="s">
        <v>489</v>
      </c>
      <c r="E197" s="1"/>
      <c r="F197" s="1" t="s">
        <v>374</v>
      </c>
      <c r="G197" s="1" t="s">
        <v>374</v>
      </c>
      <c r="H197" s="2" t="str">
        <f t="shared" si="6"/>
        <v>C</v>
      </c>
      <c r="I197" s="8">
        <v>16.875</v>
      </c>
      <c r="J197" s="5">
        <f xml:space="preserve"> 0.00051342*(I197*10)^2.6584</f>
        <v>427.93484535224832</v>
      </c>
      <c r="K197" s="8">
        <v>7</v>
      </c>
      <c r="L197" s="8">
        <v>6.75</v>
      </c>
      <c r="M197" s="2" t="s">
        <v>571</v>
      </c>
      <c r="N197" s="8"/>
      <c r="O197" s="8"/>
      <c r="P197" s="8"/>
      <c r="Q197" s="1"/>
      <c r="R197" s="8"/>
      <c r="S197" s="8"/>
      <c r="T197" s="1"/>
      <c r="U197" s="1"/>
      <c r="V197" s="8"/>
      <c r="W197" s="6" t="s">
        <v>3584</v>
      </c>
    </row>
    <row r="198" spans="1:23" x14ac:dyDescent="0.15">
      <c r="A198" s="2" t="s">
        <v>25</v>
      </c>
      <c r="B198" s="2" t="s">
        <v>3942</v>
      </c>
      <c r="C198" s="2" t="s">
        <v>1065</v>
      </c>
      <c r="D198" s="1" t="s">
        <v>489</v>
      </c>
      <c r="E198" s="1"/>
      <c r="F198" s="2" t="s">
        <v>374</v>
      </c>
      <c r="G198" s="2" t="s">
        <v>374</v>
      </c>
      <c r="H198" s="2" t="str">
        <f t="shared" si="6"/>
        <v>C</v>
      </c>
      <c r="I198" s="5"/>
      <c r="J198" s="5"/>
      <c r="K198" s="5"/>
      <c r="L198" s="5">
        <v>5.875</v>
      </c>
      <c r="M198" s="2" t="s">
        <v>571</v>
      </c>
      <c r="N198" s="5">
        <v>46.7</v>
      </c>
      <c r="O198" s="5">
        <v>35</v>
      </c>
      <c r="P198" s="5">
        <f>(0.923*N198)+(1.4*O198-56.815)</f>
        <v>35.289100000000005</v>
      </c>
      <c r="Q198" s="2" t="s">
        <v>376</v>
      </c>
      <c r="R198" s="5">
        <f>P198*L198</f>
        <v>207.32346250000003</v>
      </c>
      <c r="S198" s="5"/>
      <c r="V198" s="5"/>
      <c r="W198" s="6" t="s">
        <v>1761</v>
      </c>
    </row>
    <row r="199" spans="1:23" x14ac:dyDescent="0.15">
      <c r="A199" s="2" t="s">
        <v>25</v>
      </c>
      <c r="B199" s="2" t="s">
        <v>3942</v>
      </c>
      <c r="C199" s="2" t="s">
        <v>1065</v>
      </c>
      <c r="D199" s="2" t="s">
        <v>489</v>
      </c>
      <c r="E199" s="1"/>
      <c r="F199" s="2" t="s">
        <v>375</v>
      </c>
      <c r="G199" s="2">
        <v>-3.91</v>
      </c>
      <c r="H199" s="2" t="str">
        <f t="shared" si="6"/>
        <v>W</v>
      </c>
      <c r="I199" s="5">
        <v>29.7</v>
      </c>
      <c r="J199" s="5">
        <f xml:space="preserve"> 0.00051342*(I199*10)^2.6584</f>
        <v>1923.3066235210254</v>
      </c>
      <c r="K199" s="7">
        <f>MEDIAN(10,11)</f>
        <v>10.5</v>
      </c>
      <c r="L199" s="5">
        <v>5.88</v>
      </c>
      <c r="M199" s="2" t="s">
        <v>571</v>
      </c>
      <c r="N199" s="5">
        <v>46.7</v>
      </c>
      <c r="O199" s="5">
        <v>35</v>
      </c>
      <c r="P199" s="5">
        <f>(0.923*N199)+(1.4*O199-56.815)</f>
        <v>35.289100000000005</v>
      </c>
      <c r="Q199" s="2" t="s">
        <v>376</v>
      </c>
      <c r="R199" s="5">
        <f>P199*L199</f>
        <v>207.49990800000003</v>
      </c>
      <c r="S199" s="5">
        <f>(R199/J199)*100</f>
        <v>10.788706567241315</v>
      </c>
      <c r="V199" s="5"/>
      <c r="W199" s="6" t="s">
        <v>1761</v>
      </c>
    </row>
    <row r="200" spans="1:23" x14ac:dyDescent="0.15">
      <c r="A200" s="2" t="s">
        <v>25</v>
      </c>
      <c r="B200" s="2" t="s">
        <v>3942</v>
      </c>
      <c r="C200" s="2" t="s">
        <v>1065</v>
      </c>
      <c r="D200" s="2" t="s">
        <v>489</v>
      </c>
      <c r="E200" s="1"/>
      <c r="F200" s="2" t="s">
        <v>848</v>
      </c>
      <c r="H200" s="2" t="s">
        <v>3887</v>
      </c>
      <c r="I200" s="5"/>
      <c r="J200" s="5"/>
      <c r="K200" s="5"/>
      <c r="L200" s="5">
        <f>MEDIAN(4,6)</f>
        <v>5</v>
      </c>
      <c r="M200" s="2" t="s">
        <v>571</v>
      </c>
      <c r="N200" s="5">
        <f>MEDIAN(30,40)</f>
        <v>35</v>
      </c>
      <c r="O200" s="5">
        <f>MEDIAN(30,40)</f>
        <v>35</v>
      </c>
      <c r="P200" s="5"/>
      <c r="R200" s="5"/>
      <c r="S200" s="5"/>
      <c r="V200" s="5"/>
      <c r="W200" s="6" t="s">
        <v>2165</v>
      </c>
    </row>
    <row r="201" spans="1:23" x14ac:dyDescent="0.15">
      <c r="A201" s="2" t="s">
        <v>25</v>
      </c>
      <c r="B201" s="2" t="s">
        <v>3942</v>
      </c>
      <c r="C201" s="2" t="s">
        <v>1065</v>
      </c>
      <c r="D201" s="2" t="s">
        <v>489</v>
      </c>
      <c r="E201" s="1"/>
      <c r="F201" s="2" t="s">
        <v>374</v>
      </c>
      <c r="G201" s="2" t="s">
        <v>374</v>
      </c>
      <c r="H201" s="2" t="str">
        <f t="shared" si="6"/>
        <v>C</v>
      </c>
      <c r="I201" s="5">
        <v>17.5</v>
      </c>
      <c r="J201" s="5">
        <v>471</v>
      </c>
      <c r="K201" s="5"/>
      <c r="L201" s="5">
        <v>2</v>
      </c>
      <c r="M201" s="2" t="s">
        <v>571</v>
      </c>
      <c r="N201" s="5">
        <v>40</v>
      </c>
      <c r="O201" s="5">
        <v>29.5</v>
      </c>
      <c r="P201" s="5">
        <f xml:space="preserve"> 0.923*N201 + 1.4*O201 - 56.815</f>
        <v>21.405000000000001</v>
      </c>
      <c r="Q201" s="2" t="s">
        <v>376</v>
      </c>
      <c r="R201" s="5">
        <v>43.16</v>
      </c>
      <c r="S201" s="5">
        <v>9.16</v>
      </c>
      <c r="T201" s="2">
        <v>1</v>
      </c>
      <c r="U201" s="2" t="str">
        <f>IF(T201&lt;=1, "1",IF(AND(T201&gt;1,T201&lt;4), "2-3", "+4"))</f>
        <v>1</v>
      </c>
      <c r="V201" s="5">
        <f>S201*T201</f>
        <v>9.16</v>
      </c>
      <c r="W201" s="6" t="s">
        <v>2169</v>
      </c>
    </row>
    <row r="202" spans="1:23" x14ac:dyDescent="0.15">
      <c r="A202" s="2" t="s">
        <v>25</v>
      </c>
      <c r="B202" s="2" t="s">
        <v>3942</v>
      </c>
      <c r="C202" s="2" t="s">
        <v>1065</v>
      </c>
      <c r="D202" s="2" t="s">
        <v>444</v>
      </c>
      <c r="E202" s="1"/>
      <c r="F202" s="2" t="s">
        <v>374</v>
      </c>
      <c r="G202" s="2" t="s">
        <v>374</v>
      </c>
      <c r="H202" s="2" t="str">
        <f t="shared" si="6"/>
        <v>C</v>
      </c>
      <c r="I202" s="5">
        <v>20.7</v>
      </c>
      <c r="J202" s="5">
        <v>1308.7</v>
      </c>
      <c r="K202" s="5"/>
      <c r="L202" s="5"/>
      <c r="M202" s="2" t="s">
        <v>571</v>
      </c>
      <c r="N202" s="5">
        <v>31.6</v>
      </c>
      <c r="O202" s="5">
        <v>29</v>
      </c>
      <c r="P202" s="5">
        <v>11.5</v>
      </c>
      <c r="Q202" s="2" t="s">
        <v>18</v>
      </c>
      <c r="R202" s="5"/>
      <c r="S202" s="5"/>
      <c r="T202" s="2" t="s">
        <v>495</v>
      </c>
      <c r="U202" s="40" t="s">
        <v>395</v>
      </c>
      <c r="V202" s="5"/>
      <c r="W202" s="6" t="s">
        <v>2170</v>
      </c>
    </row>
    <row r="203" spans="1:23" x14ac:dyDescent="0.15">
      <c r="A203" s="2" t="s">
        <v>25</v>
      </c>
      <c r="B203" s="2" t="s">
        <v>3942</v>
      </c>
      <c r="C203" s="2" t="s">
        <v>1065</v>
      </c>
      <c r="D203" s="2" t="s">
        <v>444</v>
      </c>
      <c r="E203" s="1"/>
      <c r="F203" s="2" t="s">
        <v>374</v>
      </c>
      <c r="G203" s="2" t="s">
        <v>374</v>
      </c>
      <c r="H203" s="2" t="str">
        <f t="shared" si="6"/>
        <v>C</v>
      </c>
      <c r="I203" s="5">
        <v>18</v>
      </c>
      <c r="J203" s="5">
        <f xml:space="preserve"> 0.00051342*(I203*10)^2.6584</f>
        <v>508.02982582060878</v>
      </c>
      <c r="K203" s="5"/>
      <c r="L203" s="5">
        <v>6</v>
      </c>
      <c r="M203" s="2" t="s">
        <v>571</v>
      </c>
      <c r="N203" s="5">
        <v>36</v>
      </c>
      <c r="O203" s="5">
        <v>26</v>
      </c>
      <c r="P203" s="5">
        <v>12.35</v>
      </c>
      <c r="Q203" s="2" t="s">
        <v>376</v>
      </c>
      <c r="R203" s="5">
        <v>74.099999999999994</v>
      </c>
      <c r="S203" s="5">
        <f>(R203/J203)*100</f>
        <v>14.585757810637984</v>
      </c>
      <c r="V203" s="5"/>
      <c r="W203" s="6" t="s">
        <v>1747</v>
      </c>
    </row>
    <row r="204" spans="1:23" x14ac:dyDescent="0.15">
      <c r="A204" s="2" t="s">
        <v>25</v>
      </c>
      <c r="B204" s="2" t="s">
        <v>3942</v>
      </c>
      <c r="C204" s="2" t="s">
        <v>1065</v>
      </c>
      <c r="D204" s="2" t="s">
        <v>444</v>
      </c>
      <c r="E204" s="1"/>
      <c r="F204" s="2" t="s">
        <v>26</v>
      </c>
      <c r="G204" s="2">
        <v>-10.25</v>
      </c>
      <c r="H204" s="2" t="str">
        <f t="shared" si="6"/>
        <v>W</v>
      </c>
      <c r="I204" s="5">
        <v>22.12</v>
      </c>
      <c r="J204" s="5">
        <f xml:space="preserve"> 0.00051342*(I204*10)^2.6584</f>
        <v>878.71805995262685</v>
      </c>
      <c r="K204" s="7"/>
      <c r="L204" s="5">
        <v>6.6</v>
      </c>
      <c r="M204" s="2" t="s">
        <v>571</v>
      </c>
      <c r="N204" s="5">
        <v>30.6</v>
      </c>
      <c r="O204" s="5">
        <v>24.9</v>
      </c>
      <c r="P204" s="5">
        <f xml:space="preserve"> (0.557*N204) + (1.377*O204) - 41.325</f>
        <v>10.006499999999996</v>
      </c>
      <c r="Q204" s="2" t="s">
        <v>376</v>
      </c>
      <c r="R204" s="5">
        <f>P204*L204</f>
        <v>66.04289999999996</v>
      </c>
      <c r="S204" s="5">
        <f>(R204/J204)*100</f>
        <v>7.5158236765454038</v>
      </c>
      <c r="V204" s="5"/>
      <c r="W204" s="6" t="s">
        <v>4152</v>
      </c>
    </row>
    <row r="205" spans="1:23" x14ac:dyDescent="0.15">
      <c r="A205" s="2" t="s">
        <v>25</v>
      </c>
      <c r="B205" s="2" t="s">
        <v>3942</v>
      </c>
      <c r="C205" s="2" t="s">
        <v>1065</v>
      </c>
      <c r="D205" s="2" t="s">
        <v>409</v>
      </c>
      <c r="E205" s="1"/>
      <c r="F205" s="2" t="s">
        <v>566</v>
      </c>
      <c r="G205" s="2">
        <v>-25.25</v>
      </c>
      <c r="H205" s="2" t="str">
        <f t="shared" si="6"/>
        <v>W</v>
      </c>
      <c r="I205" s="5">
        <v>22.7</v>
      </c>
      <c r="J205" s="5">
        <f xml:space="preserve"> 0.00051342*(I205*10)^2.6584</f>
        <v>941.30837159526664</v>
      </c>
      <c r="K205" s="7"/>
      <c r="L205" s="5">
        <v>3</v>
      </c>
      <c r="M205" s="2" t="s">
        <v>571</v>
      </c>
      <c r="N205" s="5">
        <v>35</v>
      </c>
      <c r="O205" s="5">
        <v>28.5</v>
      </c>
      <c r="P205" s="5">
        <f xml:space="preserve"> (0.557*N205) + (1.377*O205) - 41.325</f>
        <v>17.414500000000004</v>
      </c>
      <c r="Q205" s="2" t="s">
        <v>376</v>
      </c>
      <c r="R205" s="5">
        <f>P205*L205</f>
        <v>52.243500000000012</v>
      </c>
      <c r="S205" s="5">
        <f>(R205/J205)*100</f>
        <v>5.5500940580674127</v>
      </c>
      <c r="V205" s="5"/>
      <c r="W205" s="6" t="s">
        <v>2172</v>
      </c>
    </row>
    <row r="206" spans="1:23" x14ac:dyDescent="0.15">
      <c r="A206" s="2" t="s">
        <v>25</v>
      </c>
      <c r="B206" s="2" t="s">
        <v>3942</v>
      </c>
      <c r="C206" s="2" t="s">
        <v>1065</v>
      </c>
      <c r="D206" s="2" t="s">
        <v>409</v>
      </c>
      <c r="E206" s="1"/>
      <c r="F206" s="2" t="s">
        <v>247</v>
      </c>
      <c r="H206" s="2" t="s">
        <v>3887</v>
      </c>
      <c r="I206" s="5"/>
      <c r="J206" s="5"/>
      <c r="K206" s="5"/>
      <c r="L206" s="5">
        <v>3</v>
      </c>
      <c r="M206" s="2" t="s">
        <v>571</v>
      </c>
      <c r="N206" s="5">
        <v>35</v>
      </c>
      <c r="O206" s="5">
        <v>28</v>
      </c>
      <c r="P206" s="5">
        <f xml:space="preserve"> (0.557*N206) + (1.377*O206) - 41.325</f>
        <v>16.725999999999999</v>
      </c>
      <c r="Q206" s="2" t="s">
        <v>376</v>
      </c>
      <c r="R206" s="5">
        <f>P206*L206</f>
        <v>50.177999999999997</v>
      </c>
      <c r="S206" s="5"/>
      <c r="V206" s="5"/>
      <c r="W206" s="6" t="s">
        <v>2769</v>
      </c>
    </row>
    <row r="207" spans="1:23" x14ac:dyDescent="0.15">
      <c r="A207" s="2" t="s">
        <v>25</v>
      </c>
      <c r="B207" s="2" t="s">
        <v>3942</v>
      </c>
      <c r="C207" s="2" t="s">
        <v>1065</v>
      </c>
      <c r="D207" s="2" t="s">
        <v>409</v>
      </c>
      <c r="E207" s="1"/>
      <c r="F207" s="2" t="s">
        <v>374</v>
      </c>
      <c r="G207" s="2" t="s">
        <v>374</v>
      </c>
      <c r="H207" s="2" t="str">
        <f t="shared" si="6"/>
        <v>C</v>
      </c>
      <c r="I207" s="5">
        <v>20.3</v>
      </c>
      <c r="J207" s="5">
        <v>1120</v>
      </c>
      <c r="K207" s="7"/>
      <c r="L207" s="5">
        <v>6.4</v>
      </c>
      <c r="M207" s="2" t="s">
        <v>571</v>
      </c>
      <c r="N207" s="5">
        <v>34.1</v>
      </c>
      <c r="O207" s="5">
        <v>26.9</v>
      </c>
      <c r="P207" s="5">
        <v>14.4</v>
      </c>
      <c r="Q207" s="2" t="s">
        <v>18</v>
      </c>
      <c r="R207" s="5">
        <v>92.16</v>
      </c>
      <c r="S207" s="5">
        <v>7.07</v>
      </c>
      <c r="T207" s="2" t="s">
        <v>410</v>
      </c>
      <c r="U207" s="40" t="s">
        <v>395</v>
      </c>
      <c r="V207" s="5"/>
      <c r="W207" s="6" t="s">
        <v>2171</v>
      </c>
    </row>
    <row r="208" spans="1:23" x14ac:dyDescent="0.15">
      <c r="A208" s="2" t="s">
        <v>25</v>
      </c>
      <c r="B208" s="2" t="s">
        <v>3942</v>
      </c>
      <c r="C208" s="2" t="s">
        <v>1065</v>
      </c>
      <c r="D208" s="2" t="s">
        <v>409</v>
      </c>
      <c r="E208" s="1"/>
      <c r="F208" s="2" t="s">
        <v>849</v>
      </c>
      <c r="H208" s="2" t="s">
        <v>3887</v>
      </c>
      <c r="I208" s="5"/>
      <c r="J208" s="5"/>
      <c r="K208" s="5"/>
      <c r="L208" s="5">
        <v>6.5</v>
      </c>
      <c r="M208" s="2" t="s">
        <v>571</v>
      </c>
      <c r="N208" s="5">
        <v>34</v>
      </c>
      <c r="O208" s="5">
        <v>27</v>
      </c>
      <c r="P208" s="5">
        <v>14.5</v>
      </c>
      <c r="Q208" s="2" t="s">
        <v>18</v>
      </c>
      <c r="R208" s="5">
        <v>94.25</v>
      </c>
      <c r="S208" s="5"/>
      <c r="V208" s="5"/>
      <c r="W208" s="6" t="s">
        <v>2165</v>
      </c>
    </row>
    <row r="209" spans="1:23" x14ac:dyDescent="0.15">
      <c r="A209" s="2" t="s">
        <v>25</v>
      </c>
      <c r="B209" s="2" t="s">
        <v>3942</v>
      </c>
      <c r="C209" s="2" t="s">
        <v>1065</v>
      </c>
      <c r="D209" s="2" t="s">
        <v>4017</v>
      </c>
      <c r="E209" s="1"/>
      <c r="F209" s="2" t="s">
        <v>29</v>
      </c>
      <c r="G209" s="2" t="s">
        <v>838</v>
      </c>
      <c r="H209" s="2" t="str">
        <f t="shared" si="6"/>
        <v>W</v>
      </c>
      <c r="I209" s="5"/>
      <c r="J209" s="5"/>
      <c r="K209" s="5"/>
      <c r="L209" s="5"/>
      <c r="N209" s="5"/>
      <c r="O209" s="5"/>
      <c r="P209" s="5"/>
      <c r="R209" s="5"/>
      <c r="S209" s="5"/>
      <c r="V209" s="5"/>
      <c r="W209" s="6" t="s">
        <v>838</v>
      </c>
    </row>
    <row r="210" spans="1:23" x14ac:dyDescent="0.15">
      <c r="A210" s="2" t="s">
        <v>25</v>
      </c>
      <c r="B210" s="2" t="s">
        <v>3942</v>
      </c>
      <c r="C210" s="2" t="s">
        <v>1065</v>
      </c>
      <c r="D210" s="2" t="s">
        <v>411</v>
      </c>
      <c r="E210" s="1"/>
      <c r="F210" s="2" t="s">
        <v>879</v>
      </c>
      <c r="G210" s="2">
        <v>10</v>
      </c>
      <c r="H210" s="2" t="str">
        <f t="shared" si="6"/>
        <v>W</v>
      </c>
      <c r="I210" s="5">
        <v>26.3</v>
      </c>
      <c r="J210" s="5">
        <f xml:space="preserve"> 0.00051342*(I210*10)^2.6584</f>
        <v>1392.1407438002777</v>
      </c>
      <c r="K210" s="5"/>
      <c r="L210" s="5">
        <v>7</v>
      </c>
      <c r="M210" s="2" t="s">
        <v>571</v>
      </c>
      <c r="N210" s="5">
        <v>35.299999999999997</v>
      </c>
      <c r="O210" s="5">
        <v>30.2</v>
      </c>
      <c r="P210" s="5">
        <f xml:space="preserve"> 0.249*N210 + 0.698*O210 - 14.434</f>
        <v>15.4353</v>
      </c>
      <c r="Q210" s="2" t="s">
        <v>376</v>
      </c>
      <c r="R210" s="5">
        <v>128.5</v>
      </c>
      <c r="S210" s="5">
        <f>(R210/J210)*100</f>
        <v>9.2303885632439435</v>
      </c>
      <c r="V210" s="5"/>
      <c r="W210" s="6" t="s">
        <v>1886</v>
      </c>
    </row>
    <row r="211" spans="1:23" x14ac:dyDescent="0.15">
      <c r="A211" s="2" t="s">
        <v>25</v>
      </c>
      <c r="B211" s="2" t="s">
        <v>3942</v>
      </c>
      <c r="C211" s="2" t="s">
        <v>1065</v>
      </c>
      <c r="D211" s="2" t="s">
        <v>411</v>
      </c>
      <c r="E211" s="1"/>
      <c r="F211" s="2" t="s">
        <v>58</v>
      </c>
      <c r="H211" s="2" t="s">
        <v>3887</v>
      </c>
      <c r="I211" s="5">
        <f>MEDIAN(25,28)</f>
        <v>26.5</v>
      </c>
      <c r="J211" s="5">
        <f xml:space="preserve"> 0.00051342*(I211*10)^2.6584</f>
        <v>1420.4619791235484</v>
      </c>
      <c r="K211" s="5"/>
      <c r="L211" s="5">
        <f>MEDIAN(7,10)</f>
        <v>8.5</v>
      </c>
      <c r="M211" s="2" t="s">
        <v>571</v>
      </c>
      <c r="N211" s="5">
        <v>35</v>
      </c>
      <c r="O211" s="5">
        <v>30</v>
      </c>
      <c r="P211" s="5">
        <f xml:space="preserve"> 0.249*N211 + 0.698*O211 - 14.434</f>
        <v>15.220999999999998</v>
      </c>
      <c r="Q211" s="2" t="s">
        <v>376</v>
      </c>
      <c r="R211" s="5">
        <f>P211*L211</f>
        <v>129.37849999999997</v>
      </c>
      <c r="S211" s="5">
        <f>(R211/J211)*100</f>
        <v>9.1081987340364385</v>
      </c>
      <c r="V211" s="5"/>
      <c r="W211" s="6" t="s">
        <v>2165</v>
      </c>
    </row>
    <row r="212" spans="1:23" x14ac:dyDescent="0.15">
      <c r="A212" s="2" t="s">
        <v>25</v>
      </c>
      <c r="B212" s="2" t="s">
        <v>3944</v>
      </c>
      <c r="C212" s="2" t="s">
        <v>1061</v>
      </c>
      <c r="D212" s="2" t="s">
        <v>681</v>
      </c>
      <c r="E212" s="1"/>
      <c r="F212" s="2" t="s">
        <v>35</v>
      </c>
      <c r="G212" s="2">
        <v>-28.87</v>
      </c>
      <c r="H212" s="2" t="str">
        <f t="shared" si="6"/>
        <v>W</v>
      </c>
      <c r="I212" s="5"/>
      <c r="J212" s="5"/>
      <c r="K212" s="5"/>
      <c r="L212" s="5">
        <v>20</v>
      </c>
      <c r="M212" s="2" t="s">
        <v>571</v>
      </c>
      <c r="N212" s="5">
        <v>30.25</v>
      </c>
      <c r="O212" s="5">
        <v>21.5</v>
      </c>
      <c r="P212" s="5">
        <v>7.15</v>
      </c>
      <c r="Q212" s="2" t="s">
        <v>18</v>
      </c>
      <c r="R212" s="5">
        <v>143</v>
      </c>
      <c r="S212" s="5"/>
      <c r="V212" s="5"/>
      <c r="W212" s="6" t="s">
        <v>2152</v>
      </c>
    </row>
    <row r="213" spans="1:23" x14ac:dyDescent="0.15">
      <c r="A213" s="2" t="s">
        <v>25</v>
      </c>
      <c r="B213" s="2" t="s">
        <v>3944</v>
      </c>
      <c r="C213" s="2" t="s">
        <v>1061</v>
      </c>
      <c r="D213" s="2" t="s">
        <v>681</v>
      </c>
      <c r="E213" s="1"/>
      <c r="F213" s="2" t="s">
        <v>59</v>
      </c>
      <c r="G213" s="2">
        <v>-29.2</v>
      </c>
      <c r="H213" s="2" t="str">
        <f t="shared" si="6"/>
        <v>W</v>
      </c>
      <c r="I213" s="5">
        <v>24.55</v>
      </c>
      <c r="J213" s="5">
        <v>1724.5</v>
      </c>
      <c r="K213" s="5">
        <v>19.5</v>
      </c>
      <c r="L213" s="5">
        <v>17.5</v>
      </c>
      <c r="M213" s="2" t="s">
        <v>571</v>
      </c>
      <c r="N213" s="5">
        <v>30.6</v>
      </c>
      <c r="O213" s="5">
        <v>21.9</v>
      </c>
      <c r="P213" s="5">
        <v>8.6</v>
      </c>
      <c r="Q213" s="2" t="s">
        <v>18</v>
      </c>
      <c r="R213" s="5">
        <f>P213*L213</f>
        <v>150.5</v>
      </c>
      <c r="S213" s="5">
        <f>(R213/J213)*100</f>
        <v>8.7271672948680781</v>
      </c>
      <c r="T213" s="2">
        <v>0.78</v>
      </c>
      <c r="U213" s="2" t="str">
        <f>IF(T213&lt;=1, "1",IF(AND(T213&gt;1,T213&lt;4), "2-3", "+4"))</f>
        <v>1</v>
      </c>
      <c r="V213" s="5">
        <f>S213*T213</f>
        <v>6.807190489997101</v>
      </c>
      <c r="W213" s="6" t="s">
        <v>1763</v>
      </c>
    </row>
    <row r="214" spans="1:23" x14ac:dyDescent="0.15">
      <c r="A214" s="2" t="s">
        <v>25</v>
      </c>
      <c r="B214" s="2" t="s">
        <v>3944</v>
      </c>
      <c r="C214" s="2" t="s">
        <v>1061</v>
      </c>
      <c r="D214" s="2" t="s">
        <v>4041</v>
      </c>
      <c r="E214" s="1"/>
      <c r="F214" s="2" t="s">
        <v>49</v>
      </c>
      <c r="G214" s="2">
        <v>-30.75</v>
      </c>
      <c r="H214" s="2" t="str">
        <f t="shared" si="6"/>
        <v>W</v>
      </c>
      <c r="I214" s="5"/>
      <c r="J214" s="5"/>
      <c r="K214" s="5">
        <v>7.9</v>
      </c>
      <c r="L214" s="5">
        <v>13.5</v>
      </c>
      <c r="M214" s="2" t="s">
        <v>571</v>
      </c>
      <c r="N214" s="5"/>
      <c r="O214" s="5"/>
      <c r="P214" s="5"/>
      <c r="R214" s="5"/>
      <c r="S214" s="5"/>
      <c r="V214" s="5"/>
      <c r="W214" s="6" t="s">
        <v>1764</v>
      </c>
    </row>
    <row r="215" spans="1:23" x14ac:dyDescent="0.15">
      <c r="A215" s="2" t="s">
        <v>25</v>
      </c>
      <c r="B215" s="2" t="s">
        <v>3944</v>
      </c>
      <c r="C215" s="2" t="s">
        <v>1061</v>
      </c>
      <c r="D215" s="2" t="s">
        <v>4041</v>
      </c>
      <c r="E215" s="1"/>
      <c r="F215" s="2" t="s">
        <v>35</v>
      </c>
      <c r="G215" s="2">
        <v>-30</v>
      </c>
      <c r="H215" s="2" t="s">
        <v>3887</v>
      </c>
      <c r="I215" s="5">
        <v>20.8</v>
      </c>
      <c r="J215" s="8">
        <v>1001.9</v>
      </c>
      <c r="K215" s="5"/>
      <c r="L215" s="5">
        <f>MEDIAN(10,15)</f>
        <v>12.5</v>
      </c>
      <c r="M215" s="2" t="s">
        <v>571</v>
      </c>
      <c r="N215" s="5">
        <v>31.3</v>
      </c>
      <c r="O215" s="5">
        <v>21.25</v>
      </c>
      <c r="P215" s="5">
        <f xml:space="preserve"> (0.117*N215)+ (0.545*O215) - 6.979</f>
        <v>8.2643500000000003</v>
      </c>
      <c r="Q215" s="2" t="s">
        <v>376</v>
      </c>
      <c r="R215" s="5">
        <f>P215*L215</f>
        <v>103.30437500000001</v>
      </c>
      <c r="S215" s="5">
        <f>(R215/J215)*100</f>
        <v>10.310846890907277</v>
      </c>
      <c r="T215" s="2">
        <f>MEDIAN(1,2)</f>
        <v>1.5</v>
      </c>
      <c r="U215" s="2" t="str">
        <f>IF(T215&lt;=1, "1",IF(AND(T215&gt;1,T215&lt;4), "2-3", "+4"))</f>
        <v>2-3</v>
      </c>
      <c r="V215" s="5"/>
      <c r="W215" s="6" t="s">
        <v>2156</v>
      </c>
    </row>
    <row r="216" spans="1:23" x14ac:dyDescent="0.15">
      <c r="A216" s="2" t="s">
        <v>25</v>
      </c>
      <c r="B216" s="2" t="s">
        <v>3944</v>
      </c>
      <c r="C216" s="2" t="s">
        <v>1061</v>
      </c>
      <c r="D216" s="2" t="s">
        <v>683</v>
      </c>
      <c r="E216" s="1"/>
      <c r="F216" s="2" t="s">
        <v>374</v>
      </c>
      <c r="G216" s="2" t="s">
        <v>374</v>
      </c>
      <c r="H216" s="2" t="str">
        <f t="shared" si="6"/>
        <v>C</v>
      </c>
      <c r="I216" s="5">
        <v>22.25</v>
      </c>
      <c r="J216" s="5">
        <v>1101.5</v>
      </c>
      <c r="K216" s="5"/>
      <c r="L216" s="5">
        <v>10</v>
      </c>
      <c r="M216" s="2" t="s">
        <v>571</v>
      </c>
      <c r="N216" s="5"/>
      <c r="O216" s="5"/>
      <c r="P216" s="5"/>
      <c r="R216" s="5"/>
      <c r="S216" s="5"/>
      <c r="V216" s="5"/>
      <c r="W216" s="6" t="s">
        <v>3281</v>
      </c>
    </row>
    <row r="217" spans="1:23" x14ac:dyDescent="0.15">
      <c r="A217" s="2" t="s">
        <v>25</v>
      </c>
      <c r="B217" s="2" t="s">
        <v>3944</v>
      </c>
      <c r="C217" s="2" t="s">
        <v>1061</v>
      </c>
      <c r="D217" s="2" t="s">
        <v>683</v>
      </c>
      <c r="E217" s="1"/>
      <c r="F217" s="2" t="s">
        <v>448</v>
      </c>
      <c r="G217" s="2">
        <v>-28</v>
      </c>
      <c r="H217" s="2" t="str">
        <f t="shared" si="6"/>
        <v>W</v>
      </c>
      <c r="I217" s="5"/>
      <c r="J217" s="8"/>
      <c r="K217" s="5">
        <v>12</v>
      </c>
      <c r="L217" s="5"/>
      <c r="N217" s="5"/>
      <c r="O217" s="5"/>
      <c r="P217" s="5"/>
      <c r="R217" s="5"/>
      <c r="S217" s="5"/>
      <c r="V217" s="5"/>
      <c r="W217" s="6" t="s">
        <v>4056</v>
      </c>
    </row>
    <row r="218" spans="1:23" x14ac:dyDescent="0.15">
      <c r="A218" s="2" t="s">
        <v>25</v>
      </c>
      <c r="B218" s="2" t="s">
        <v>3944</v>
      </c>
      <c r="C218" s="2" t="s">
        <v>1061</v>
      </c>
      <c r="D218" s="2" t="s">
        <v>684</v>
      </c>
      <c r="E218" s="1"/>
      <c r="F218" s="2" t="s">
        <v>35</v>
      </c>
      <c r="G218" s="2" t="s">
        <v>374</v>
      </c>
      <c r="H218" s="2" t="str">
        <f t="shared" si="6"/>
        <v>C</v>
      </c>
      <c r="I218" s="5">
        <v>22.7</v>
      </c>
      <c r="J218" s="8">
        <v>1291.0999999999999</v>
      </c>
      <c r="K218" s="5"/>
      <c r="L218" s="5">
        <v>21</v>
      </c>
      <c r="M218" s="2" t="s">
        <v>571</v>
      </c>
      <c r="N218" s="5"/>
      <c r="O218" s="5"/>
      <c r="P218" s="5"/>
      <c r="R218" s="5"/>
      <c r="S218" s="5"/>
      <c r="V218" s="5"/>
      <c r="W218" s="6" t="s">
        <v>2152</v>
      </c>
    </row>
    <row r="219" spans="1:23" x14ac:dyDescent="0.15">
      <c r="A219" s="2" t="s">
        <v>25</v>
      </c>
      <c r="B219" s="2" t="s">
        <v>3942</v>
      </c>
      <c r="C219" s="2" t="s">
        <v>1064</v>
      </c>
      <c r="D219" s="2" t="s">
        <v>391</v>
      </c>
      <c r="E219" s="1"/>
      <c r="F219" s="2" t="s">
        <v>62</v>
      </c>
      <c r="G219" s="2">
        <v>-11.56</v>
      </c>
      <c r="H219" s="2" t="str">
        <f t="shared" si="6"/>
        <v>W</v>
      </c>
      <c r="I219" s="5"/>
      <c r="J219" s="5"/>
      <c r="K219" s="5"/>
      <c r="L219" s="5">
        <v>13.1</v>
      </c>
      <c r="M219" s="2" t="s">
        <v>571</v>
      </c>
      <c r="N219" s="5"/>
      <c r="O219" s="5"/>
      <c r="P219" s="5"/>
      <c r="R219" s="5"/>
      <c r="S219" s="5"/>
      <c r="V219" s="5"/>
      <c r="W219" s="6" t="s">
        <v>1765</v>
      </c>
    </row>
    <row r="220" spans="1:23" x14ac:dyDescent="0.15">
      <c r="A220" s="1" t="s">
        <v>25</v>
      </c>
      <c r="B220" s="2" t="s">
        <v>3942</v>
      </c>
      <c r="C220" s="1" t="s">
        <v>1064</v>
      </c>
      <c r="D220" s="1" t="s">
        <v>391</v>
      </c>
      <c r="E220" s="1"/>
      <c r="F220" s="1" t="s">
        <v>26</v>
      </c>
      <c r="G220" s="1">
        <v>-11.95</v>
      </c>
      <c r="H220" s="1" t="s">
        <v>3887</v>
      </c>
      <c r="I220" s="8"/>
      <c r="J220" s="8"/>
      <c r="K220" s="8"/>
      <c r="L220" s="8">
        <v>13.1</v>
      </c>
      <c r="M220" s="1" t="s">
        <v>571</v>
      </c>
      <c r="N220" s="8"/>
      <c r="O220" s="8"/>
      <c r="P220" s="8"/>
      <c r="Q220" s="1"/>
      <c r="R220" s="8"/>
      <c r="S220" s="8"/>
      <c r="T220" s="1"/>
      <c r="U220" s="1"/>
      <c r="V220" s="8"/>
      <c r="W220" s="6" t="s">
        <v>3889</v>
      </c>
    </row>
    <row r="221" spans="1:23" x14ac:dyDescent="0.15">
      <c r="A221" s="2" t="s">
        <v>25</v>
      </c>
      <c r="B221" s="2" t="s">
        <v>3942</v>
      </c>
      <c r="C221" s="2" t="s">
        <v>1064</v>
      </c>
      <c r="D221" s="2" t="s">
        <v>391</v>
      </c>
      <c r="E221" s="1"/>
      <c r="F221" s="2" t="s">
        <v>374</v>
      </c>
      <c r="G221" s="2" t="s">
        <v>374</v>
      </c>
      <c r="H221" s="2" t="str">
        <f t="shared" ref="H221:H252" si="7">IF(G221="captive","C","W")</f>
        <v>C</v>
      </c>
      <c r="I221" s="5"/>
      <c r="J221" s="5">
        <v>980</v>
      </c>
      <c r="K221" s="5"/>
      <c r="L221" s="5">
        <v>9.5</v>
      </c>
      <c r="M221" s="5" t="s">
        <v>571</v>
      </c>
      <c r="N221" s="5"/>
      <c r="O221" s="5"/>
      <c r="P221" s="5"/>
      <c r="R221" s="5"/>
      <c r="S221" s="5"/>
      <c r="V221" s="5"/>
      <c r="W221" s="6" t="s">
        <v>2328</v>
      </c>
    </row>
    <row r="222" spans="1:23" x14ac:dyDescent="0.15">
      <c r="A222" s="2" t="s">
        <v>25</v>
      </c>
      <c r="B222" s="2" t="s">
        <v>3942</v>
      </c>
      <c r="C222" s="2" t="s">
        <v>1064</v>
      </c>
      <c r="D222" s="2" t="s">
        <v>391</v>
      </c>
      <c r="E222" s="1"/>
      <c r="F222" s="2" t="s">
        <v>374</v>
      </c>
      <c r="G222" s="2" t="s">
        <v>374</v>
      </c>
      <c r="H222" s="2" t="str">
        <f t="shared" si="7"/>
        <v>C</v>
      </c>
      <c r="I222" s="5"/>
      <c r="J222" s="5"/>
      <c r="K222" s="5"/>
      <c r="L222" s="5">
        <v>15.38</v>
      </c>
      <c r="M222" s="5" t="s">
        <v>571</v>
      </c>
      <c r="N222" s="5">
        <v>30.84</v>
      </c>
      <c r="O222" s="5">
        <f>(P222-(0.591*N222)+11.815)/0.355</f>
        <v>26.446647887323945</v>
      </c>
      <c r="P222" s="5">
        <v>15.8</v>
      </c>
      <c r="Q222" s="2" t="s">
        <v>18</v>
      </c>
      <c r="R222" s="5">
        <v>243</v>
      </c>
      <c r="S222" s="5"/>
      <c r="V222" s="5"/>
      <c r="W222" s="6" t="s">
        <v>2175</v>
      </c>
    </row>
    <row r="223" spans="1:23" x14ac:dyDescent="0.15">
      <c r="A223" s="2" t="s">
        <v>25</v>
      </c>
      <c r="B223" s="2" t="s">
        <v>3942</v>
      </c>
      <c r="C223" s="2" t="s">
        <v>1064</v>
      </c>
      <c r="D223" s="2" t="s">
        <v>391</v>
      </c>
      <c r="E223" s="1"/>
      <c r="F223" s="2" t="s">
        <v>374</v>
      </c>
      <c r="G223" s="2" t="s">
        <v>374</v>
      </c>
      <c r="H223" s="2" t="str">
        <f t="shared" si="7"/>
        <v>C</v>
      </c>
      <c r="I223" s="5">
        <v>35</v>
      </c>
      <c r="J223" s="5">
        <f xml:space="preserve"> 0.00051342*(I223*10)^2.6584</f>
        <v>2975.9338371713775</v>
      </c>
      <c r="K223" s="5">
        <v>6.58</v>
      </c>
      <c r="L223" s="5">
        <v>15</v>
      </c>
      <c r="M223" s="5" t="s">
        <v>571</v>
      </c>
      <c r="N223" s="5">
        <v>30</v>
      </c>
      <c r="O223" s="5">
        <v>26.4</v>
      </c>
      <c r="P223" s="5">
        <v>15.2</v>
      </c>
      <c r="Q223" s="2" t="s">
        <v>18</v>
      </c>
      <c r="R223" s="5">
        <v>228</v>
      </c>
      <c r="S223" s="5">
        <f>(R223/J223)*100</f>
        <v>7.6614606531949585</v>
      </c>
      <c r="V223" s="5"/>
      <c r="W223" s="6" t="s">
        <v>2173</v>
      </c>
    </row>
    <row r="224" spans="1:23" x14ac:dyDescent="0.15">
      <c r="A224" s="2" t="s">
        <v>25</v>
      </c>
      <c r="B224" s="2" t="s">
        <v>3942</v>
      </c>
      <c r="C224" s="2" t="s">
        <v>1064</v>
      </c>
      <c r="D224" s="2" t="s">
        <v>391</v>
      </c>
      <c r="E224" s="1"/>
      <c r="F224" s="2" t="s">
        <v>219</v>
      </c>
      <c r="G224" s="2">
        <v>0.5</v>
      </c>
      <c r="H224" s="2" t="str">
        <f t="shared" si="7"/>
        <v>W</v>
      </c>
      <c r="I224" s="5"/>
      <c r="J224" s="5"/>
      <c r="K224" s="5"/>
      <c r="L224" s="5">
        <v>13</v>
      </c>
      <c r="M224" s="2" t="s">
        <v>571</v>
      </c>
      <c r="N224" s="5">
        <v>33.74</v>
      </c>
      <c r="O224" s="5">
        <v>32.479999999999997</v>
      </c>
      <c r="P224" s="5">
        <v>19.37</v>
      </c>
      <c r="Q224" s="2" t="s">
        <v>18</v>
      </c>
      <c r="R224" s="5">
        <v>251.8</v>
      </c>
      <c r="S224" s="5"/>
      <c r="T224" s="9"/>
      <c r="U224" s="9"/>
      <c r="V224" s="5"/>
      <c r="W224" s="6" t="s">
        <v>3234</v>
      </c>
    </row>
    <row r="225" spans="1:23" x14ac:dyDescent="0.15">
      <c r="A225" s="2" t="s">
        <v>25</v>
      </c>
      <c r="B225" s="2" t="s">
        <v>3942</v>
      </c>
      <c r="C225" s="2" t="s">
        <v>1064</v>
      </c>
      <c r="D225" s="2" t="s">
        <v>391</v>
      </c>
      <c r="E225" s="1"/>
      <c r="F225" s="2" t="s">
        <v>603</v>
      </c>
      <c r="G225" s="2" t="s">
        <v>374</v>
      </c>
      <c r="H225" s="2" t="str">
        <f t="shared" si="7"/>
        <v>C</v>
      </c>
      <c r="I225" s="5">
        <v>31.31</v>
      </c>
      <c r="J225" s="5">
        <v>3086.67</v>
      </c>
      <c r="K225" s="7">
        <f>MEDIAN(6,8)</f>
        <v>7</v>
      </c>
      <c r="L225" s="5">
        <v>18.14</v>
      </c>
      <c r="M225" s="2" t="s">
        <v>571</v>
      </c>
      <c r="N225" s="5">
        <v>30.6</v>
      </c>
      <c r="O225" s="5">
        <v>29</v>
      </c>
      <c r="P225" s="5">
        <v>15.23</v>
      </c>
      <c r="Q225" s="2" t="s">
        <v>18</v>
      </c>
      <c r="R225" s="5">
        <v>276.27</v>
      </c>
      <c r="S225" s="5">
        <v>8.9499999999999993</v>
      </c>
      <c r="T225" s="5">
        <v>1</v>
      </c>
      <c r="U225" s="2" t="str">
        <f>IF(T225&lt;=1, "1",IF(AND(T225&gt;1,T225&lt;4), "2-3", "+4"))</f>
        <v>1</v>
      </c>
      <c r="V225" s="5">
        <f>S225*T225</f>
        <v>8.9499999999999993</v>
      </c>
      <c r="W225" s="6" t="s">
        <v>3365</v>
      </c>
    </row>
    <row r="226" spans="1:23" x14ac:dyDescent="0.15">
      <c r="A226" s="2" t="s">
        <v>25</v>
      </c>
      <c r="B226" s="2" t="s">
        <v>3942</v>
      </c>
      <c r="C226" s="2" t="s">
        <v>1064</v>
      </c>
      <c r="D226" s="2" t="s">
        <v>391</v>
      </c>
      <c r="E226" s="1"/>
      <c r="F226" s="2" t="s">
        <v>850</v>
      </c>
      <c r="H226" s="2" t="s">
        <v>3887</v>
      </c>
      <c r="I226" s="5"/>
      <c r="J226" s="5"/>
      <c r="K226" s="5"/>
      <c r="L226" s="5">
        <f>MEDIAN(10,20)</f>
        <v>15</v>
      </c>
      <c r="M226" s="2" t="s">
        <v>571</v>
      </c>
      <c r="N226" s="5">
        <v>30</v>
      </c>
      <c r="O226" s="5">
        <v>30</v>
      </c>
      <c r="P226" s="5">
        <f xml:space="preserve"> (0.355*N226) + (0.591*O226) - 11.815</f>
        <v>16.564999999999998</v>
      </c>
      <c r="Q226" s="2" t="s">
        <v>376</v>
      </c>
      <c r="R226" s="5">
        <f>P226*L226</f>
        <v>248.47499999999997</v>
      </c>
      <c r="S226" s="5"/>
      <c r="V226" s="5"/>
      <c r="W226" s="6" t="s">
        <v>2165</v>
      </c>
    </row>
    <row r="227" spans="1:23" x14ac:dyDescent="0.15">
      <c r="A227" s="2" t="s">
        <v>25</v>
      </c>
      <c r="B227" s="2" t="s">
        <v>3942</v>
      </c>
      <c r="C227" s="2" t="s">
        <v>1064</v>
      </c>
      <c r="D227" s="2" t="s">
        <v>391</v>
      </c>
      <c r="E227" s="1"/>
      <c r="F227" s="2" t="s">
        <v>26</v>
      </c>
      <c r="G227" s="2">
        <v>-10.25</v>
      </c>
      <c r="H227" s="2" t="str">
        <f t="shared" si="7"/>
        <v>W</v>
      </c>
      <c r="I227" s="5">
        <v>25.48</v>
      </c>
      <c r="J227" s="5">
        <f xml:space="preserve"> 0.00051342*(I227*10)^2.6584</f>
        <v>1279.7152054972239</v>
      </c>
      <c r="K227" s="5"/>
      <c r="L227" s="5">
        <v>8.4</v>
      </c>
      <c r="M227" s="5" t="s">
        <v>571</v>
      </c>
      <c r="N227" s="5">
        <v>27.8</v>
      </c>
      <c r="O227" s="5">
        <v>26</v>
      </c>
      <c r="P227" s="5">
        <f xml:space="preserve"> (0.355*N227) + (0.591*O227) - 11.815</f>
        <v>13.42</v>
      </c>
      <c r="Q227" s="2" t="s">
        <v>376</v>
      </c>
      <c r="R227" s="5">
        <f>P227*L227</f>
        <v>112.72800000000001</v>
      </c>
      <c r="S227" s="5">
        <f>(R227/J227)*100</f>
        <v>8.8088349279401097</v>
      </c>
      <c r="V227" s="5"/>
      <c r="W227" s="6" t="s">
        <v>4151</v>
      </c>
    </row>
    <row r="228" spans="1:23" x14ac:dyDescent="0.15">
      <c r="A228" s="2" t="s">
        <v>25</v>
      </c>
      <c r="B228" s="2" t="s">
        <v>3942</v>
      </c>
      <c r="C228" s="2" t="s">
        <v>1064</v>
      </c>
      <c r="D228" s="2" t="s">
        <v>391</v>
      </c>
      <c r="E228" s="1"/>
      <c r="F228" s="2" t="s">
        <v>61</v>
      </c>
      <c r="G228" s="2">
        <v>-12.3</v>
      </c>
      <c r="H228" s="2" t="str">
        <f t="shared" si="7"/>
        <v>W</v>
      </c>
      <c r="I228" s="5"/>
      <c r="J228" s="5"/>
      <c r="K228" s="5"/>
      <c r="L228" s="5">
        <v>12.8</v>
      </c>
      <c r="M228" s="2" t="s">
        <v>571</v>
      </c>
      <c r="N228" s="5">
        <f>(P228+15.053)/1.0145</f>
        <v>33.132577624445538</v>
      </c>
      <c r="O228" s="5">
        <f>(P228+8.3994)/0.8543</f>
        <v>31.557298372936909</v>
      </c>
      <c r="P228" s="5">
        <v>18.559999999999999</v>
      </c>
      <c r="Q228" s="2" t="s">
        <v>18</v>
      </c>
      <c r="R228" s="5">
        <f>P228*L228</f>
        <v>237.56799999999998</v>
      </c>
      <c r="S228" s="5"/>
      <c r="V228" s="5"/>
      <c r="W228" s="6" t="s">
        <v>1887</v>
      </c>
    </row>
    <row r="229" spans="1:23" x14ac:dyDescent="0.15">
      <c r="A229" s="2" t="s">
        <v>25</v>
      </c>
      <c r="B229" s="2" t="s">
        <v>3942</v>
      </c>
      <c r="C229" s="2" t="s">
        <v>1064</v>
      </c>
      <c r="D229" s="2" t="s">
        <v>391</v>
      </c>
      <c r="E229" s="1"/>
      <c r="F229" s="2" t="s">
        <v>61</v>
      </c>
      <c r="G229" s="2">
        <v>-12.3</v>
      </c>
      <c r="H229" s="2" t="str">
        <f t="shared" si="7"/>
        <v>W</v>
      </c>
      <c r="I229" s="5"/>
      <c r="J229" s="5"/>
      <c r="K229" s="5"/>
      <c r="L229" s="5">
        <v>9.1999999999999993</v>
      </c>
      <c r="M229" s="2" t="s">
        <v>571</v>
      </c>
      <c r="N229" s="5">
        <f>(P229+15.053)/1.0145</f>
        <v>32.393297190734351</v>
      </c>
      <c r="O229" s="5">
        <f>(P229+8.3994)/0.8543</f>
        <v>30.679386632330562</v>
      </c>
      <c r="P229" s="5">
        <v>17.809999999999999</v>
      </c>
      <c r="Q229" s="2" t="s">
        <v>18</v>
      </c>
      <c r="R229" s="5">
        <f>P229*L229</f>
        <v>163.85199999999998</v>
      </c>
      <c r="S229" s="5"/>
      <c r="V229" s="5"/>
      <c r="W229" s="6" t="s">
        <v>1887</v>
      </c>
    </row>
    <row r="230" spans="1:23" x14ac:dyDescent="0.15">
      <c r="A230" s="2" t="s">
        <v>25</v>
      </c>
      <c r="B230" s="2" t="s">
        <v>3942</v>
      </c>
      <c r="C230" s="2" t="s">
        <v>1064</v>
      </c>
      <c r="D230" s="2" t="s">
        <v>391</v>
      </c>
      <c r="E230" s="1"/>
      <c r="F230" s="2" t="s">
        <v>63</v>
      </c>
      <c r="G230" s="2">
        <v>-21</v>
      </c>
      <c r="H230" s="2" t="str">
        <f t="shared" si="7"/>
        <v>W</v>
      </c>
      <c r="I230" s="5">
        <v>29.7</v>
      </c>
      <c r="J230" s="5">
        <v>1923.3</v>
      </c>
      <c r="K230" s="5"/>
      <c r="L230" s="5">
        <v>15</v>
      </c>
      <c r="M230" s="2" t="s">
        <v>571</v>
      </c>
      <c r="N230" s="5">
        <f>(P230+15.053)/1.0145</f>
        <v>30.473849186791522</v>
      </c>
      <c r="O230" s="5">
        <v>28.4</v>
      </c>
      <c r="P230" s="5">
        <f xml:space="preserve"> (0.8543*O230) - 8.3994</f>
        <v>15.862719999999996</v>
      </c>
      <c r="Q230" s="2" t="s">
        <v>376</v>
      </c>
      <c r="R230" s="5">
        <f>P230*L230</f>
        <v>237.94079999999994</v>
      </c>
      <c r="S230" s="5">
        <f>(R230/J230)*100</f>
        <v>12.37148650756512</v>
      </c>
      <c r="V230" s="5"/>
      <c r="W230" s="6" t="s">
        <v>1766</v>
      </c>
    </row>
    <row r="231" spans="1:23" x14ac:dyDescent="0.15">
      <c r="A231" s="2" t="s">
        <v>25</v>
      </c>
      <c r="B231" s="2" t="s">
        <v>3942</v>
      </c>
      <c r="C231" s="2" t="s">
        <v>1064</v>
      </c>
      <c r="D231" s="2" t="s">
        <v>391</v>
      </c>
      <c r="E231" s="1"/>
      <c r="F231" s="2" t="s">
        <v>219</v>
      </c>
      <c r="H231" s="2" t="s">
        <v>3887</v>
      </c>
      <c r="I231" s="5">
        <f>(EXP(LN(J231/0.00051342)/2.6584))/10</f>
        <v>30.424125075707856</v>
      </c>
      <c r="J231" s="5">
        <v>2050.5</v>
      </c>
      <c r="K231" s="5"/>
      <c r="L231" s="5">
        <v>15.2</v>
      </c>
      <c r="M231" s="5" t="s">
        <v>571</v>
      </c>
      <c r="N231" s="5">
        <v>31.5</v>
      </c>
      <c r="O231" s="5">
        <v>31.1</v>
      </c>
      <c r="P231" s="5">
        <v>18.3</v>
      </c>
      <c r="Q231" s="2" t="s">
        <v>18</v>
      </c>
      <c r="R231" s="5">
        <v>278.2</v>
      </c>
      <c r="S231" s="5">
        <v>13.57</v>
      </c>
      <c r="V231" s="5"/>
      <c r="W231" s="6" t="s">
        <v>3277</v>
      </c>
    </row>
    <row r="232" spans="1:23" x14ac:dyDescent="0.15">
      <c r="A232" s="2" t="s">
        <v>25</v>
      </c>
      <c r="B232" s="2" t="s">
        <v>3942</v>
      </c>
      <c r="C232" s="2" t="s">
        <v>1064</v>
      </c>
      <c r="D232" s="2" t="s">
        <v>391</v>
      </c>
      <c r="E232" s="1"/>
      <c r="F232" s="2" t="s">
        <v>374</v>
      </c>
      <c r="G232" s="2" t="s">
        <v>374</v>
      </c>
      <c r="H232" s="2" t="str">
        <f t="shared" si="7"/>
        <v>C</v>
      </c>
      <c r="I232" s="5">
        <v>23.5</v>
      </c>
      <c r="J232" s="5">
        <f xml:space="preserve"> 0.00051342*(I232*10)^2.6584</f>
        <v>1032.094794020936</v>
      </c>
      <c r="K232" s="5"/>
      <c r="L232" s="5">
        <v>12</v>
      </c>
      <c r="M232" s="2" t="s">
        <v>571</v>
      </c>
      <c r="N232" s="5">
        <v>28.8</v>
      </c>
      <c r="O232" s="5">
        <v>27.5</v>
      </c>
      <c r="P232" s="5">
        <f xml:space="preserve"> (0.355*N232) + (0.591*O232) - 11.815</f>
        <v>14.661499999999998</v>
      </c>
      <c r="Q232" s="2" t="s">
        <v>376</v>
      </c>
      <c r="R232" s="5">
        <f>P232*L232</f>
        <v>175.93799999999999</v>
      </c>
      <c r="S232" s="5">
        <f>(R232/J232)*100</f>
        <v>17.046689995844616</v>
      </c>
      <c r="T232" s="2" t="s">
        <v>495</v>
      </c>
      <c r="U232" s="40" t="s">
        <v>395</v>
      </c>
      <c r="V232" s="5"/>
      <c r="W232" s="6" t="s">
        <v>2174</v>
      </c>
    </row>
    <row r="233" spans="1:23" x14ac:dyDescent="0.15">
      <c r="A233" s="2" t="s">
        <v>25</v>
      </c>
      <c r="B233" s="2" t="s">
        <v>3942</v>
      </c>
      <c r="C233" s="2" t="s">
        <v>1064</v>
      </c>
      <c r="D233" s="2" t="s">
        <v>685</v>
      </c>
      <c r="E233" s="1"/>
      <c r="F233" s="2" t="s">
        <v>3333</v>
      </c>
      <c r="G233" s="2">
        <v>-32.1</v>
      </c>
      <c r="H233" s="2" t="str">
        <f t="shared" si="7"/>
        <v>W</v>
      </c>
      <c r="I233" s="5">
        <v>30.92</v>
      </c>
      <c r="J233" s="5">
        <v>2778</v>
      </c>
      <c r="K233" s="5"/>
      <c r="L233" s="5">
        <v>12.7</v>
      </c>
      <c r="M233" s="2" t="s">
        <v>571</v>
      </c>
      <c r="N233" s="5">
        <v>32.799999999999997</v>
      </c>
      <c r="O233" s="5">
        <v>31.3</v>
      </c>
      <c r="P233" s="5">
        <v>19.399999999999999</v>
      </c>
      <c r="Q233" s="2" t="s">
        <v>18</v>
      </c>
      <c r="R233" s="5">
        <v>246.38</v>
      </c>
      <c r="S233" s="5">
        <v>8.8699999999999992</v>
      </c>
      <c r="T233" s="2">
        <v>2</v>
      </c>
      <c r="U233" s="2" t="str">
        <f>IF(T233&lt;=1, "1",IF(AND(T233&gt;1,T233&lt;4), "2-3", "+4"))</f>
        <v>2-3</v>
      </c>
      <c r="V233" s="5">
        <f>S233*2</f>
        <v>17.739999999999998</v>
      </c>
      <c r="W233" s="6" t="s">
        <v>3336</v>
      </c>
    </row>
    <row r="234" spans="1:23" x14ac:dyDescent="0.15">
      <c r="A234" s="2" t="s">
        <v>25</v>
      </c>
      <c r="B234" s="2" t="s">
        <v>3942</v>
      </c>
      <c r="C234" s="2" t="s">
        <v>1064</v>
      </c>
      <c r="D234" s="2" t="s">
        <v>685</v>
      </c>
      <c r="E234" s="1"/>
      <c r="F234" s="2" t="s">
        <v>3334</v>
      </c>
      <c r="G234" s="2">
        <v>-32.67</v>
      </c>
      <c r="H234" s="2" t="str">
        <f t="shared" si="7"/>
        <v>W</v>
      </c>
      <c r="I234" s="5">
        <v>35.11</v>
      </c>
      <c r="J234" s="5">
        <f xml:space="preserve"> 0.00051342*(I234*10)^2.6584</f>
        <v>3000.8625206294018</v>
      </c>
      <c r="K234" s="5"/>
      <c r="L234" s="5">
        <v>13.1</v>
      </c>
      <c r="M234" s="2" t="s">
        <v>571</v>
      </c>
      <c r="N234" s="5">
        <v>32.6</v>
      </c>
      <c r="O234" s="5">
        <v>31.1</v>
      </c>
      <c r="P234" s="5">
        <v>19</v>
      </c>
      <c r="Q234" s="2" t="s">
        <v>18</v>
      </c>
      <c r="R234" s="5">
        <v>248.9</v>
      </c>
      <c r="S234" s="5">
        <f>(R234/J234)*100</f>
        <v>8.2942820035552849</v>
      </c>
      <c r="T234" s="2">
        <v>2</v>
      </c>
      <c r="U234" s="2" t="str">
        <f>IF(T234&lt;=1, "1",IF(AND(T234&gt;1,T234&lt;4), "2-3", "+4"))</f>
        <v>2-3</v>
      </c>
      <c r="V234" s="5">
        <f>S234*2</f>
        <v>16.58856400711057</v>
      </c>
      <c r="W234" s="6" t="s">
        <v>3336</v>
      </c>
    </row>
    <row r="235" spans="1:23" x14ac:dyDescent="0.15">
      <c r="A235" s="2" t="s">
        <v>25</v>
      </c>
      <c r="B235" s="2" t="s">
        <v>3942</v>
      </c>
      <c r="C235" s="2" t="s">
        <v>1064</v>
      </c>
      <c r="D235" s="2" t="s">
        <v>685</v>
      </c>
      <c r="E235" s="1"/>
      <c r="F235" s="2" t="s">
        <v>3370</v>
      </c>
      <c r="G235" s="2">
        <v>31.5</v>
      </c>
      <c r="H235" s="2" t="str">
        <f t="shared" si="7"/>
        <v>W</v>
      </c>
      <c r="I235" s="5">
        <v>33.799999999999997</v>
      </c>
      <c r="J235" s="5">
        <v>3600</v>
      </c>
      <c r="K235" s="5"/>
      <c r="L235" s="5">
        <v>14</v>
      </c>
      <c r="M235" s="2" t="s">
        <v>571</v>
      </c>
      <c r="N235" s="5">
        <v>33.6</v>
      </c>
      <c r="O235" s="5">
        <v>32</v>
      </c>
      <c r="P235" s="5">
        <v>20.5</v>
      </c>
      <c r="Q235" s="2" t="s">
        <v>18</v>
      </c>
      <c r="R235" s="5">
        <v>287</v>
      </c>
      <c r="S235" s="5">
        <v>7.97</v>
      </c>
      <c r="V235" s="5"/>
      <c r="W235" s="6" t="s">
        <v>2176</v>
      </c>
    </row>
    <row r="236" spans="1:23" x14ac:dyDescent="0.15">
      <c r="A236" s="2" t="s">
        <v>25</v>
      </c>
      <c r="B236" s="2" t="s">
        <v>3942</v>
      </c>
      <c r="C236" s="2" t="s">
        <v>1064</v>
      </c>
      <c r="D236" s="2" t="s">
        <v>685</v>
      </c>
      <c r="E236" s="1"/>
      <c r="F236" s="2" t="s">
        <v>568</v>
      </c>
      <c r="G236" s="2">
        <v>-30.25</v>
      </c>
      <c r="H236" s="2" t="str">
        <f t="shared" si="7"/>
        <v>W</v>
      </c>
      <c r="I236" s="5"/>
      <c r="J236" s="5"/>
      <c r="K236" s="5"/>
      <c r="L236" s="5">
        <v>11</v>
      </c>
      <c r="M236" s="2" t="s">
        <v>571</v>
      </c>
      <c r="N236" s="5"/>
      <c r="O236" s="5"/>
      <c r="P236" s="5"/>
      <c r="R236" s="5"/>
      <c r="S236" s="5"/>
      <c r="V236" s="5"/>
      <c r="W236" s="6" t="s">
        <v>2178</v>
      </c>
    </row>
    <row r="237" spans="1:23" x14ac:dyDescent="0.15">
      <c r="A237" s="2" t="s">
        <v>25</v>
      </c>
      <c r="B237" s="2" t="s">
        <v>3942</v>
      </c>
      <c r="C237" s="2" t="s">
        <v>1064</v>
      </c>
      <c r="D237" s="2" t="s">
        <v>685</v>
      </c>
      <c r="E237" s="1"/>
      <c r="F237" s="2" t="s">
        <v>64</v>
      </c>
      <c r="G237" s="2">
        <v>-30</v>
      </c>
      <c r="H237" s="2" t="str">
        <f t="shared" si="7"/>
        <v>W</v>
      </c>
      <c r="I237" s="5"/>
      <c r="J237" s="5"/>
      <c r="K237" s="5"/>
      <c r="L237" s="5">
        <f>AVERAGE(7,4,12,6,7,5,8,5,8,4,8,4)</f>
        <v>6.5</v>
      </c>
      <c r="M237" s="2" t="s">
        <v>571</v>
      </c>
      <c r="N237" s="5">
        <v>34.119999999999997</v>
      </c>
      <c r="O237" s="5">
        <v>32.619999999999997</v>
      </c>
      <c r="P237" s="5">
        <v>21.47</v>
      </c>
      <c r="Q237" s="2" t="s">
        <v>18</v>
      </c>
      <c r="R237" s="5">
        <f>P237*L237</f>
        <v>139.55500000000001</v>
      </c>
      <c r="S237" s="5"/>
      <c r="V237" s="5"/>
      <c r="W237" s="6" t="s">
        <v>1888</v>
      </c>
    </row>
    <row r="238" spans="1:23" x14ac:dyDescent="0.15">
      <c r="A238" s="2" t="s">
        <v>25</v>
      </c>
      <c r="B238" s="2" t="s">
        <v>3942</v>
      </c>
      <c r="C238" s="2" t="s">
        <v>1064</v>
      </c>
      <c r="D238" s="2" t="s">
        <v>685</v>
      </c>
      <c r="E238" s="1"/>
      <c r="F238" s="2" t="s">
        <v>247</v>
      </c>
      <c r="H238" s="2" t="s">
        <v>3887</v>
      </c>
      <c r="I238" s="5"/>
      <c r="J238" s="5"/>
      <c r="K238" s="5"/>
      <c r="L238" s="5">
        <v>22.5</v>
      </c>
      <c r="M238" s="2" t="s">
        <v>571</v>
      </c>
      <c r="N238" s="5">
        <v>28.5</v>
      </c>
      <c r="O238" s="5">
        <v>28.5</v>
      </c>
      <c r="P238" s="5">
        <v>16</v>
      </c>
      <c r="Q238" s="2" t="s">
        <v>18</v>
      </c>
      <c r="R238" s="5">
        <v>360</v>
      </c>
      <c r="S238" s="5"/>
      <c r="V238" s="5"/>
      <c r="W238" s="6" t="s">
        <v>2769</v>
      </c>
    </row>
    <row r="239" spans="1:23" x14ac:dyDescent="0.15">
      <c r="A239" s="2" t="s">
        <v>25</v>
      </c>
      <c r="B239" s="2" t="s">
        <v>3942</v>
      </c>
      <c r="C239" s="2" t="s">
        <v>1064</v>
      </c>
      <c r="D239" s="2" t="s">
        <v>685</v>
      </c>
      <c r="E239" s="1"/>
      <c r="F239" s="2" t="s">
        <v>600</v>
      </c>
      <c r="G239" s="2" t="s">
        <v>374</v>
      </c>
      <c r="H239" s="2" t="str">
        <f t="shared" si="7"/>
        <v>C</v>
      </c>
      <c r="I239" s="5">
        <v>35</v>
      </c>
      <c r="J239" s="5">
        <f xml:space="preserve"> 0.00051342*(I239*10)^2.6584</f>
        <v>2975.9338371713775</v>
      </c>
      <c r="K239" s="5"/>
      <c r="L239" s="5">
        <v>21</v>
      </c>
      <c r="M239" s="2" t="s">
        <v>571</v>
      </c>
      <c r="N239" s="5"/>
      <c r="O239" s="5"/>
      <c r="P239" s="5"/>
      <c r="R239" s="5"/>
      <c r="S239" s="5"/>
      <c r="V239" s="5"/>
      <c r="W239" s="6" t="s">
        <v>2179</v>
      </c>
    </row>
    <row r="240" spans="1:23" x14ac:dyDescent="0.15">
      <c r="A240" s="2" t="s">
        <v>25</v>
      </c>
      <c r="B240" s="2" t="s">
        <v>3942</v>
      </c>
      <c r="C240" s="2" t="s">
        <v>1064</v>
      </c>
      <c r="D240" s="2" t="s">
        <v>685</v>
      </c>
      <c r="E240" s="1"/>
      <c r="F240" s="2" t="s">
        <v>878</v>
      </c>
      <c r="G240" s="2">
        <v>-27</v>
      </c>
      <c r="H240" s="2" t="str">
        <f t="shared" si="7"/>
        <v>W</v>
      </c>
      <c r="I240" s="5">
        <v>28</v>
      </c>
      <c r="J240" s="5"/>
      <c r="K240" s="5"/>
      <c r="L240" s="5">
        <v>18</v>
      </c>
      <c r="M240" s="2" t="s">
        <v>571</v>
      </c>
      <c r="N240" s="5">
        <v>35.5</v>
      </c>
      <c r="O240" s="5">
        <v>30.5</v>
      </c>
      <c r="P240" s="5">
        <v>18.809999999999999</v>
      </c>
      <c r="Q240" s="2" t="s">
        <v>376</v>
      </c>
      <c r="R240" s="5">
        <v>334.8</v>
      </c>
      <c r="S240" s="5"/>
      <c r="V240" s="5"/>
      <c r="W240" s="6" t="s">
        <v>3545</v>
      </c>
    </row>
    <row r="241" spans="1:23" x14ac:dyDescent="0.15">
      <c r="A241" s="2" t="s">
        <v>25</v>
      </c>
      <c r="B241" s="2" t="s">
        <v>3942</v>
      </c>
      <c r="C241" s="2" t="s">
        <v>1064</v>
      </c>
      <c r="D241" s="2" t="s">
        <v>685</v>
      </c>
      <c r="E241" s="1"/>
      <c r="F241" s="2" t="s">
        <v>374</v>
      </c>
      <c r="G241" s="2" t="s">
        <v>374</v>
      </c>
      <c r="H241" s="2" t="str">
        <f t="shared" si="7"/>
        <v>C</v>
      </c>
      <c r="I241" s="5">
        <v>30.48</v>
      </c>
      <c r="J241" s="5">
        <f xml:space="preserve"> 0.00051342*(I241*10)^2.6584</f>
        <v>2060.5262858384094</v>
      </c>
      <c r="K241" s="5"/>
      <c r="L241" s="5">
        <v>15</v>
      </c>
      <c r="M241" s="2" t="s">
        <v>571</v>
      </c>
      <c r="N241" s="5">
        <v>31.75</v>
      </c>
      <c r="O241" s="5"/>
      <c r="P241" s="5">
        <v>17.157</v>
      </c>
      <c r="Q241" s="2" t="s">
        <v>376</v>
      </c>
      <c r="R241" s="5">
        <f>P241*L241</f>
        <v>257.35500000000002</v>
      </c>
      <c r="S241" s="5">
        <f>(R241/J241)*100</f>
        <v>12.489770296489306</v>
      </c>
      <c r="V241" s="5"/>
      <c r="W241" s="6" t="s">
        <v>2447</v>
      </c>
    </row>
    <row r="242" spans="1:23" x14ac:dyDescent="0.15">
      <c r="A242" s="2" t="s">
        <v>25</v>
      </c>
      <c r="B242" s="2" t="s">
        <v>3942</v>
      </c>
      <c r="C242" s="2" t="s">
        <v>1064</v>
      </c>
      <c r="D242" s="2" t="s">
        <v>685</v>
      </c>
      <c r="E242" s="1"/>
      <c r="F242" s="2" t="s">
        <v>557</v>
      </c>
      <c r="G242" s="2">
        <v>-27.83</v>
      </c>
      <c r="H242" s="2" t="str">
        <f t="shared" si="7"/>
        <v>W</v>
      </c>
      <c r="I242" s="5">
        <v>20.75</v>
      </c>
      <c r="J242" s="5">
        <v>1278.3</v>
      </c>
      <c r="K242" s="5"/>
      <c r="L242" s="5">
        <v>12</v>
      </c>
      <c r="M242" s="5" t="s">
        <v>571</v>
      </c>
      <c r="N242" s="5"/>
      <c r="O242" s="5"/>
      <c r="P242" s="5"/>
      <c r="Q242" s="2" t="s">
        <v>376</v>
      </c>
      <c r="R242" s="5"/>
      <c r="S242" s="5"/>
      <c r="V242" s="5"/>
      <c r="W242" s="6" t="s">
        <v>2177</v>
      </c>
    </row>
    <row r="243" spans="1:23" x14ac:dyDescent="0.15">
      <c r="A243" s="2" t="s">
        <v>25</v>
      </c>
      <c r="B243" s="2" t="s">
        <v>3942</v>
      </c>
      <c r="C243" s="2" t="s">
        <v>1064</v>
      </c>
      <c r="D243" s="2" t="s">
        <v>686</v>
      </c>
      <c r="E243" s="1"/>
      <c r="F243" s="2" t="s">
        <v>374</v>
      </c>
      <c r="G243" s="2" t="s">
        <v>374</v>
      </c>
      <c r="H243" s="2" t="str">
        <f t="shared" si="7"/>
        <v>C</v>
      </c>
      <c r="I243" s="5">
        <v>32</v>
      </c>
      <c r="J243" s="5">
        <v>3300</v>
      </c>
      <c r="K243" s="5"/>
      <c r="L243" s="5">
        <v>12</v>
      </c>
      <c r="M243" s="2" t="s">
        <v>571</v>
      </c>
      <c r="N243" s="5">
        <v>35</v>
      </c>
      <c r="O243" s="5">
        <v>35</v>
      </c>
      <c r="P243" s="5">
        <v>22.5</v>
      </c>
      <c r="Q243" s="2" t="s">
        <v>18</v>
      </c>
      <c r="R243" s="5">
        <v>270</v>
      </c>
      <c r="S243" s="5">
        <v>8.18</v>
      </c>
      <c r="V243" s="5"/>
      <c r="W243" s="6" t="s">
        <v>2329</v>
      </c>
    </row>
    <row r="244" spans="1:23" x14ac:dyDescent="0.15">
      <c r="A244" s="1" t="s">
        <v>25</v>
      </c>
      <c r="B244" s="2" t="s">
        <v>3942</v>
      </c>
      <c r="C244" s="2" t="s">
        <v>1064</v>
      </c>
      <c r="D244" s="1" t="s">
        <v>686</v>
      </c>
      <c r="E244" s="1"/>
      <c r="F244" s="1" t="s">
        <v>374</v>
      </c>
      <c r="G244" s="1" t="s">
        <v>374</v>
      </c>
      <c r="H244" s="2" t="str">
        <f t="shared" si="7"/>
        <v>C</v>
      </c>
      <c r="I244" s="8">
        <v>27.5</v>
      </c>
      <c r="J244" s="8">
        <v>1910</v>
      </c>
      <c r="K244" s="8"/>
      <c r="L244" s="8">
        <v>6.75</v>
      </c>
      <c r="M244" s="2" t="s">
        <v>571</v>
      </c>
      <c r="N244" s="8">
        <v>29.5</v>
      </c>
      <c r="O244" s="8">
        <v>27.5</v>
      </c>
      <c r="P244" s="8">
        <v>14.91</v>
      </c>
      <c r="Q244" s="1" t="s">
        <v>376</v>
      </c>
      <c r="R244" s="8">
        <v>100.64</v>
      </c>
      <c r="S244" s="8">
        <v>5.2690000000000001</v>
      </c>
      <c r="T244" s="1">
        <v>3</v>
      </c>
      <c r="U244" s="2" t="str">
        <f>IF(T244&lt;=1, "1",IF(AND(T244&gt;1,T244&lt;4), "2-3", "+4"))</f>
        <v>2-3</v>
      </c>
      <c r="V244" s="8">
        <v>15.807</v>
      </c>
      <c r="W244" s="6" t="s">
        <v>3585</v>
      </c>
    </row>
    <row r="245" spans="1:23" x14ac:dyDescent="0.15">
      <c r="A245" s="2" t="s">
        <v>25</v>
      </c>
      <c r="B245" s="2" t="s">
        <v>3942</v>
      </c>
      <c r="C245" s="2" t="s">
        <v>1064</v>
      </c>
      <c r="D245" s="2" t="s">
        <v>686</v>
      </c>
      <c r="E245" s="1"/>
      <c r="F245" s="2" t="s">
        <v>569</v>
      </c>
      <c r="G245" s="2">
        <v>-5.3</v>
      </c>
      <c r="H245" s="2" t="str">
        <f t="shared" si="7"/>
        <v>W</v>
      </c>
      <c r="I245" s="5">
        <v>27.85</v>
      </c>
      <c r="J245" s="5">
        <f xml:space="preserve"> 0.00051342*(I245*10)^2.6584</f>
        <v>1621.0488138758667</v>
      </c>
      <c r="K245" s="5"/>
      <c r="L245" s="5"/>
      <c r="M245" s="2" t="s">
        <v>571</v>
      </c>
      <c r="N245" s="5"/>
      <c r="O245" s="5"/>
      <c r="P245" s="5"/>
      <c r="R245" s="5"/>
      <c r="S245" s="5"/>
      <c r="V245" s="5"/>
      <c r="W245" s="6" t="s">
        <v>1889</v>
      </c>
    </row>
    <row r="246" spans="1:23" x14ac:dyDescent="0.15">
      <c r="A246" s="2" t="s">
        <v>25</v>
      </c>
      <c r="B246" s="2" t="s">
        <v>3942</v>
      </c>
      <c r="C246" s="2" t="s">
        <v>1064</v>
      </c>
      <c r="D246" s="2" t="s">
        <v>686</v>
      </c>
      <c r="E246" s="1"/>
      <c r="F246" s="2" t="s">
        <v>850</v>
      </c>
      <c r="H246" s="2" t="s">
        <v>3887</v>
      </c>
      <c r="I246" s="5"/>
      <c r="J246" s="5"/>
      <c r="K246" s="5"/>
      <c r="L246" s="5">
        <f>MEDIAN(10,20)</f>
        <v>15</v>
      </c>
      <c r="M246" s="2" t="s">
        <v>571</v>
      </c>
      <c r="N246" s="5">
        <v>30</v>
      </c>
      <c r="O246" s="5">
        <v>30</v>
      </c>
      <c r="P246" s="5">
        <f xml:space="preserve"> (0.355*N246) + (0.591*O246) - 11.815</f>
        <v>16.564999999999998</v>
      </c>
      <c r="Q246" s="2" t="s">
        <v>376</v>
      </c>
      <c r="R246" s="5">
        <f>P246*L246</f>
        <v>248.47499999999997</v>
      </c>
      <c r="S246" s="5"/>
      <c r="V246" s="5"/>
      <c r="W246" s="6" t="s">
        <v>2165</v>
      </c>
    </row>
    <row r="247" spans="1:23" x14ac:dyDescent="0.15">
      <c r="A247" s="2" t="s">
        <v>25</v>
      </c>
      <c r="B247" s="2" t="s">
        <v>3942</v>
      </c>
      <c r="C247" s="2" t="s">
        <v>1064</v>
      </c>
      <c r="D247" s="2" t="s">
        <v>567</v>
      </c>
      <c r="E247" s="1"/>
      <c r="F247" s="2" t="s">
        <v>247</v>
      </c>
      <c r="H247" s="2" t="s">
        <v>3887</v>
      </c>
      <c r="I247" s="5"/>
      <c r="J247" s="5"/>
      <c r="K247" s="5"/>
      <c r="L247" s="5">
        <v>9</v>
      </c>
      <c r="M247" s="2" t="s">
        <v>571</v>
      </c>
      <c r="N247" s="5">
        <v>33.6</v>
      </c>
      <c r="O247" s="5">
        <v>27.15</v>
      </c>
      <c r="P247" s="5"/>
      <c r="R247" s="5"/>
      <c r="S247" s="5"/>
      <c r="V247" s="5"/>
      <c r="W247" s="6" t="s">
        <v>2769</v>
      </c>
    </row>
    <row r="248" spans="1:23" x14ac:dyDescent="0.15">
      <c r="A248" s="2" t="s">
        <v>25</v>
      </c>
      <c r="B248" s="2" t="s">
        <v>3942</v>
      </c>
      <c r="C248" s="2" t="s">
        <v>1064</v>
      </c>
      <c r="D248" s="2" t="s">
        <v>567</v>
      </c>
      <c r="E248" s="1"/>
      <c r="F248" s="2" t="s">
        <v>568</v>
      </c>
      <c r="H248" s="2" t="s">
        <v>3887</v>
      </c>
      <c r="I248" s="5">
        <v>25.2</v>
      </c>
      <c r="J248" s="5">
        <f xml:space="preserve"> 0.00051342*(I248*10)^2.6584</f>
        <v>1242.6704751932505</v>
      </c>
      <c r="K248" s="5"/>
      <c r="L248" s="5">
        <v>9</v>
      </c>
      <c r="M248" s="5" t="s">
        <v>571</v>
      </c>
      <c r="N248" s="5">
        <v>33.299999999999997</v>
      </c>
      <c r="O248" s="5">
        <v>27</v>
      </c>
      <c r="P248" s="5">
        <f xml:space="preserve"> (0.355*N248) + (0.591*O248) - 11.815</f>
        <v>15.963499999999998</v>
      </c>
      <c r="Q248" s="2" t="s">
        <v>376</v>
      </c>
      <c r="R248" s="5">
        <f>P248*L248</f>
        <v>143.67149999999998</v>
      </c>
      <c r="S248" s="5">
        <f>(R248/J248)*100</f>
        <v>11.561512313041582</v>
      </c>
      <c r="V248" s="5"/>
      <c r="W248" s="6" t="s">
        <v>2180</v>
      </c>
    </row>
    <row r="249" spans="1:23" x14ac:dyDescent="0.15">
      <c r="A249" s="2" t="s">
        <v>25</v>
      </c>
      <c r="B249" s="2" t="s">
        <v>3942</v>
      </c>
      <c r="C249" s="2" t="s">
        <v>1070</v>
      </c>
      <c r="D249" s="2" t="s">
        <v>604</v>
      </c>
      <c r="E249" s="1" t="s">
        <v>1069</v>
      </c>
      <c r="F249" s="2" t="s">
        <v>374</v>
      </c>
      <c r="G249" s="2" t="s">
        <v>374</v>
      </c>
      <c r="H249" s="2" t="str">
        <f t="shared" si="7"/>
        <v>C</v>
      </c>
      <c r="I249" s="5">
        <v>13.95</v>
      </c>
      <c r="J249" s="5">
        <v>277</v>
      </c>
      <c r="K249" s="5"/>
      <c r="L249" s="5">
        <v>1</v>
      </c>
      <c r="M249" s="5" t="s">
        <v>571</v>
      </c>
      <c r="N249" s="5">
        <f>MEDIAN(50,55)</f>
        <v>52.5</v>
      </c>
      <c r="O249" s="5">
        <f>MEDIAN(24,29)</f>
        <v>26.5</v>
      </c>
      <c r="P249" s="5">
        <f>MEDIAN(18,20)</f>
        <v>19</v>
      </c>
      <c r="Q249" s="2" t="s">
        <v>18</v>
      </c>
      <c r="R249" s="5">
        <f>MEDIAN(18,20)</f>
        <v>19</v>
      </c>
      <c r="S249" s="5">
        <f>(R249/J249)*100</f>
        <v>6.8592057761732859</v>
      </c>
      <c r="T249" s="2" t="s">
        <v>524</v>
      </c>
      <c r="U249" s="40" t="s">
        <v>395</v>
      </c>
      <c r="V249" s="5"/>
      <c r="W249" s="6" t="s">
        <v>2211</v>
      </c>
    </row>
    <row r="250" spans="1:23" x14ac:dyDescent="0.15">
      <c r="A250" s="2" t="s">
        <v>25</v>
      </c>
      <c r="B250" s="2" t="s">
        <v>3942</v>
      </c>
      <c r="C250" s="2" t="s">
        <v>1070</v>
      </c>
      <c r="D250" s="2" t="s">
        <v>604</v>
      </c>
      <c r="E250" s="1" t="s">
        <v>1069</v>
      </c>
      <c r="F250" s="2" t="s">
        <v>65</v>
      </c>
      <c r="G250" s="2">
        <v>4</v>
      </c>
      <c r="H250" s="2" t="str">
        <f t="shared" si="7"/>
        <v>W</v>
      </c>
      <c r="I250" s="5"/>
      <c r="J250" s="5"/>
      <c r="K250" s="5"/>
      <c r="L250" s="5"/>
      <c r="M250" s="2" t="s">
        <v>571</v>
      </c>
      <c r="N250" s="5"/>
      <c r="O250" s="5"/>
      <c r="P250" s="5"/>
      <c r="R250" s="5"/>
      <c r="S250" s="5"/>
      <c r="V250" s="5"/>
      <c r="W250" s="6" t="s">
        <v>1890</v>
      </c>
    </row>
    <row r="251" spans="1:23" x14ac:dyDescent="0.15">
      <c r="A251" s="2" t="s">
        <v>25</v>
      </c>
      <c r="B251" s="2" t="s">
        <v>3942</v>
      </c>
      <c r="C251" s="2" t="s">
        <v>1070</v>
      </c>
      <c r="D251" s="2" t="s">
        <v>604</v>
      </c>
      <c r="E251" s="1" t="s">
        <v>1069</v>
      </c>
      <c r="F251" s="2" t="s">
        <v>26</v>
      </c>
      <c r="G251" s="2">
        <v>-2.27</v>
      </c>
      <c r="H251" s="2" t="str">
        <f t="shared" si="7"/>
        <v>W</v>
      </c>
      <c r="I251" s="5">
        <v>15.7</v>
      </c>
      <c r="J251" s="5"/>
      <c r="K251" s="5"/>
      <c r="L251" s="5">
        <v>1</v>
      </c>
      <c r="M251" s="5" t="s">
        <v>571</v>
      </c>
      <c r="N251" s="5"/>
      <c r="O251" s="5"/>
      <c r="P251" s="5"/>
      <c r="R251" s="5"/>
      <c r="S251" s="5"/>
      <c r="T251" s="2" t="s">
        <v>634</v>
      </c>
      <c r="U251" s="40" t="s">
        <v>4047</v>
      </c>
      <c r="V251" s="5"/>
      <c r="W251" s="6" t="s">
        <v>3550</v>
      </c>
    </row>
    <row r="252" spans="1:23" x14ac:dyDescent="0.15">
      <c r="A252" s="2" t="s">
        <v>25</v>
      </c>
      <c r="B252" s="2" t="s">
        <v>3942</v>
      </c>
      <c r="C252" s="2" t="s">
        <v>1070</v>
      </c>
      <c r="D252" s="2" t="s">
        <v>604</v>
      </c>
      <c r="E252" s="1" t="s">
        <v>1069</v>
      </c>
      <c r="F252" s="2" t="s">
        <v>374</v>
      </c>
      <c r="G252" s="2" t="s">
        <v>374</v>
      </c>
      <c r="H252" s="2" t="str">
        <f t="shared" si="7"/>
        <v>C</v>
      </c>
      <c r="I252" s="5">
        <v>14.8</v>
      </c>
      <c r="J252" s="5"/>
      <c r="K252" s="5"/>
      <c r="L252" s="5">
        <v>1</v>
      </c>
      <c r="M252" s="2" t="s">
        <v>571</v>
      </c>
      <c r="N252" s="5">
        <v>57.674999999999997</v>
      </c>
      <c r="O252" s="5">
        <v>37.091999999999999</v>
      </c>
      <c r="P252" s="5">
        <v>46.575000000000003</v>
      </c>
      <c r="Q252" s="2" t="s">
        <v>18</v>
      </c>
      <c r="R252" s="5">
        <v>27</v>
      </c>
      <c r="S252" s="5"/>
      <c r="V252" s="5"/>
      <c r="W252" s="6" t="s">
        <v>3466</v>
      </c>
    </row>
    <row r="253" spans="1:23" x14ac:dyDescent="0.15">
      <c r="A253" s="2" t="s">
        <v>25</v>
      </c>
      <c r="B253" s="2" t="s">
        <v>3942</v>
      </c>
      <c r="C253" s="2" t="s">
        <v>1070</v>
      </c>
      <c r="D253" s="2" t="s">
        <v>604</v>
      </c>
      <c r="E253" s="1" t="s">
        <v>1069</v>
      </c>
      <c r="F253" s="2" t="s">
        <v>374</v>
      </c>
      <c r="G253" s="2" t="s">
        <v>374</v>
      </c>
      <c r="H253" s="2" t="str">
        <f t="shared" ref="H253:H285" si="8">IF(G253="captive","C","W")</f>
        <v>C</v>
      </c>
      <c r="I253" s="5"/>
      <c r="J253" s="5"/>
      <c r="K253" s="5"/>
      <c r="L253" s="5">
        <v>1.0860000000000001</v>
      </c>
      <c r="M253" s="5" t="s">
        <v>571</v>
      </c>
      <c r="N253" s="5">
        <f>MEDIAN(45,51)</f>
        <v>48</v>
      </c>
      <c r="O253" s="5">
        <f>MEDIAN(25,26)</f>
        <v>25.5</v>
      </c>
      <c r="P253" s="5">
        <f xml:space="preserve"> 0.505*((51+45)/2) + 1.622*((25+26)/2) - 45.499</f>
        <v>20.101999999999997</v>
      </c>
      <c r="Q253" s="2" t="s">
        <v>376</v>
      </c>
      <c r="R253" s="5">
        <f>P253*L253</f>
        <v>21.830772</v>
      </c>
      <c r="S253" s="5"/>
      <c r="V253" s="5"/>
      <c r="W253" s="6" t="s">
        <v>3260</v>
      </c>
    </row>
    <row r="254" spans="1:23" x14ac:dyDescent="0.15">
      <c r="A254" s="2" t="s">
        <v>25</v>
      </c>
      <c r="B254" s="2" t="s">
        <v>3945</v>
      </c>
      <c r="C254" s="2" t="s">
        <v>3474</v>
      </c>
      <c r="D254" s="2" t="s">
        <v>687</v>
      </c>
      <c r="E254" s="1"/>
      <c r="F254" s="2" t="s">
        <v>66</v>
      </c>
      <c r="G254" s="2">
        <v>-31.8</v>
      </c>
      <c r="H254" s="2" t="str">
        <f t="shared" si="8"/>
        <v>W</v>
      </c>
      <c r="I254" s="5">
        <v>12.5</v>
      </c>
      <c r="J254" s="5">
        <v>324.10000000000002</v>
      </c>
      <c r="K254" s="5">
        <v>10.5</v>
      </c>
      <c r="L254" s="5">
        <v>4.5</v>
      </c>
      <c r="M254" s="2" t="s">
        <v>571</v>
      </c>
      <c r="N254" s="5">
        <v>35.950000000000003</v>
      </c>
      <c r="O254" s="5">
        <v>20.05</v>
      </c>
      <c r="P254" s="5">
        <v>8.6</v>
      </c>
      <c r="Q254" s="2" t="s">
        <v>18</v>
      </c>
      <c r="R254" s="5">
        <v>38.700000000000003</v>
      </c>
      <c r="S254" s="5">
        <f>(R254/J254)*100</f>
        <v>11.940759024992287</v>
      </c>
      <c r="T254" s="2">
        <v>1</v>
      </c>
      <c r="U254" s="2" t="str">
        <f>IF(T254&lt;=1, "1",IF(AND(T254&gt;1,T254&lt;4), "2-3", "+4"))</f>
        <v>1</v>
      </c>
      <c r="V254" s="5">
        <f>S254*T254</f>
        <v>11.940759024992287</v>
      </c>
      <c r="W254" s="6" t="s">
        <v>2258</v>
      </c>
    </row>
    <row r="255" spans="1:23" x14ac:dyDescent="0.15">
      <c r="A255" s="2" t="s">
        <v>25</v>
      </c>
      <c r="B255" s="2" t="s">
        <v>3945</v>
      </c>
      <c r="C255" s="2" t="s">
        <v>3474</v>
      </c>
      <c r="D255" s="2" t="s">
        <v>687</v>
      </c>
      <c r="E255" s="1"/>
      <c r="F255" s="2" t="s">
        <v>851</v>
      </c>
      <c r="H255" s="2" t="s">
        <v>3887</v>
      </c>
      <c r="I255" s="5"/>
      <c r="J255" s="5"/>
      <c r="K255" s="5">
        <v>10.5</v>
      </c>
      <c r="L255" s="5"/>
      <c r="M255" s="2" t="s">
        <v>571</v>
      </c>
      <c r="N255" s="5">
        <v>35</v>
      </c>
      <c r="O255" s="5">
        <v>20</v>
      </c>
      <c r="P255" s="5">
        <f xml:space="preserve"> (0.117*N255) + (0.545*O255) - 6.979</f>
        <v>8.0160000000000018</v>
      </c>
      <c r="Q255" s="2" t="s">
        <v>376</v>
      </c>
      <c r="R255" s="5"/>
      <c r="S255" s="5"/>
      <c r="V255" s="5"/>
      <c r="W255" s="6" t="s">
        <v>2152</v>
      </c>
    </row>
    <row r="256" spans="1:23" x14ac:dyDescent="0.15">
      <c r="A256" s="2" t="s">
        <v>25</v>
      </c>
      <c r="B256" s="2" t="s">
        <v>3945</v>
      </c>
      <c r="C256" s="2" t="s">
        <v>3474</v>
      </c>
      <c r="D256" s="2" t="s">
        <v>687</v>
      </c>
      <c r="E256" s="1"/>
      <c r="F256" s="2" t="s">
        <v>66</v>
      </c>
      <c r="G256" s="2">
        <v>-33</v>
      </c>
      <c r="H256" s="2" t="str">
        <f t="shared" si="8"/>
        <v>W</v>
      </c>
      <c r="I256" s="5"/>
      <c r="J256" s="5"/>
      <c r="K256" s="5"/>
      <c r="L256" s="5">
        <f>AVERAGE(3,3,2,6,2)</f>
        <v>3.2</v>
      </c>
      <c r="M256" s="2" t="s">
        <v>571</v>
      </c>
      <c r="N256" s="5"/>
      <c r="O256" s="5"/>
      <c r="P256" s="5"/>
      <c r="R256" s="5"/>
      <c r="S256" s="5"/>
      <c r="V256" s="5"/>
      <c r="W256" s="6" t="s">
        <v>1879</v>
      </c>
    </row>
    <row r="257" spans="1:23" x14ac:dyDescent="0.15">
      <c r="A257" s="2" t="s">
        <v>25</v>
      </c>
      <c r="B257" s="2" t="s">
        <v>3945</v>
      </c>
      <c r="C257" s="2" t="s">
        <v>3474</v>
      </c>
      <c r="D257" s="2" t="s">
        <v>687</v>
      </c>
      <c r="E257" s="1"/>
      <c r="F257" s="2" t="s">
        <v>59</v>
      </c>
      <c r="H257" s="2" t="s">
        <v>3887</v>
      </c>
      <c r="I257" s="5"/>
      <c r="J257" s="5"/>
      <c r="K257" s="5"/>
      <c r="L257" s="5"/>
      <c r="M257" s="2" t="s">
        <v>571</v>
      </c>
      <c r="N257" s="5">
        <v>36.6</v>
      </c>
      <c r="O257" s="5">
        <v>19.7</v>
      </c>
      <c r="P257" s="5">
        <v>8.5</v>
      </c>
      <c r="Q257" s="2" t="s">
        <v>18</v>
      </c>
      <c r="R257" s="5"/>
      <c r="S257" s="5"/>
      <c r="V257" s="5"/>
      <c r="W257" s="6" t="s">
        <v>2309</v>
      </c>
    </row>
    <row r="258" spans="1:23" x14ac:dyDescent="0.15">
      <c r="A258" s="2" t="s">
        <v>25</v>
      </c>
      <c r="B258" s="2" t="s">
        <v>3942</v>
      </c>
      <c r="C258" s="2" t="s">
        <v>4019</v>
      </c>
      <c r="D258" s="2" t="s">
        <v>4020</v>
      </c>
      <c r="E258" s="1"/>
      <c r="F258" s="2" t="s">
        <v>601</v>
      </c>
      <c r="G258" s="2">
        <v>-20.73</v>
      </c>
      <c r="H258" s="2" t="str">
        <f t="shared" si="8"/>
        <v>W</v>
      </c>
      <c r="I258" s="5">
        <v>30.58</v>
      </c>
      <c r="J258" s="5">
        <v>2524</v>
      </c>
      <c r="K258" s="5"/>
      <c r="L258" s="5">
        <v>5.75</v>
      </c>
      <c r="M258" s="2" t="s">
        <v>571</v>
      </c>
      <c r="N258" s="5">
        <v>41.97</v>
      </c>
      <c r="O258" s="5">
        <v>41.07</v>
      </c>
      <c r="P258" s="5">
        <f xml:space="preserve"> 2.131*N258 + 0.041*O258 - 52.309</f>
        <v>38.812939999999983</v>
      </c>
      <c r="Q258" s="2" t="s">
        <v>376</v>
      </c>
      <c r="R258" s="5">
        <f>P258*L258</f>
        <v>223.17440499999989</v>
      </c>
      <c r="S258" s="5">
        <f>(R258/J258)*100</f>
        <v>8.8420921156893773</v>
      </c>
      <c r="V258" s="5"/>
      <c r="W258" s="6" t="s">
        <v>2168</v>
      </c>
    </row>
    <row r="259" spans="1:23" x14ac:dyDescent="0.15">
      <c r="A259" s="2" t="s">
        <v>25</v>
      </c>
      <c r="B259" s="2" t="s">
        <v>3942</v>
      </c>
      <c r="C259" s="2" t="s">
        <v>4019</v>
      </c>
      <c r="D259" s="2" t="s">
        <v>4020</v>
      </c>
      <c r="E259" s="1"/>
      <c r="F259" s="2" t="s">
        <v>26</v>
      </c>
      <c r="G259" s="2">
        <v>-20.3</v>
      </c>
      <c r="H259" s="2" t="str">
        <f t="shared" si="8"/>
        <v>W</v>
      </c>
      <c r="I259" s="5">
        <v>30.4</v>
      </c>
      <c r="J259" s="5">
        <v>2400</v>
      </c>
      <c r="K259" s="5"/>
      <c r="L259" s="5">
        <v>6</v>
      </c>
      <c r="M259" s="2" t="s">
        <v>571</v>
      </c>
      <c r="N259" s="5"/>
      <c r="O259" s="5"/>
      <c r="P259" s="5"/>
      <c r="R259" s="5"/>
      <c r="S259" s="5"/>
      <c r="V259" s="5"/>
      <c r="W259" s="6" t="s">
        <v>2327</v>
      </c>
    </row>
    <row r="260" spans="1:23" x14ac:dyDescent="0.15">
      <c r="A260" s="2" t="s">
        <v>25</v>
      </c>
      <c r="B260" s="2" t="s">
        <v>3944</v>
      </c>
      <c r="C260" s="2" t="s">
        <v>3475</v>
      </c>
      <c r="D260" s="2" t="s">
        <v>688</v>
      </c>
      <c r="E260" s="1"/>
      <c r="F260" s="2" t="s">
        <v>852</v>
      </c>
      <c r="H260" s="2" t="s">
        <v>3887</v>
      </c>
      <c r="I260" s="5"/>
      <c r="J260" s="5"/>
      <c r="K260" s="5"/>
      <c r="L260" s="5">
        <v>18</v>
      </c>
      <c r="M260" s="2" t="s">
        <v>571</v>
      </c>
      <c r="N260" s="5">
        <v>31</v>
      </c>
      <c r="O260" s="5">
        <v>22</v>
      </c>
      <c r="P260" s="5">
        <f>MEDIAN(6.4,9.2)</f>
        <v>7.8</v>
      </c>
      <c r="Q260" s="2" t="s">
        <v>18</v>
      </c>
      <c r="R260" s="5">
        <f>P260*L260</f>
        <v>140.4</v>
      </c>
      <c r="S260" s="5"/>
      <c r="T260" s="2">
        <v>2</v>
      </c>
      <c r="U260" s="2" t="str">
        <f>IF(T260&lt;=1, "1",IF(AND(T260&gt;1,T260&lt;4), "2-3", "+4"))</f>
        <v>2-3</v>
      </c>
      <c r="V260" s="5"/>
      <c r="W260" s="6" t="s">
        <v>2152</v>
      </c>
    </row>
    <row r="261" spans="1:23" x14ac:dyDescent="0.15">
      <c r="A261" s="2" t="s">
        <v>25</v>
      </c>
      <c r="B261" s="2" t="s">
        <v>3944</v>
      </c>
      <c r="C261" s="2" t="s">
        <v>3475</v>
      </c>
      <c r="D261" s="2" t="s">
        <v>688</v>
      </c>
      <c r="E261" s="1"/>
      <c r="F261" s="2" t="s">
        <v>59</v>
      </c>
      <c r="H261" s="2" t="s">
        <v>3887</v>
      </c>
      <c r="I261" s="5"/>
      <c r="J261" s="5"/>
      <c r="K261" s="5"/>
      <c r="L261" s="5"/>
      <c r="M261" s="2" t="s">
        <v>571</v>
      </c>
      <c r="N261" s="5">
        <v>29.4</v>
      </c>
      <c r="O261" s="5">
        <v>21</v>
      </c>
      <c r="P261" s="5">
        <v>7.4</v>
      </c>
      <c r="Q261" s="2" t="s">
        <v>18</v>
      </c>
      <c r="R261" s="5"/>
      <c r="S261" s="5"/>
      <c r="V261" s="5"/>
      <c r="W261" s="6" t="s">
        <v>2309</v>
      </c>
    </row>
    <row r="262" spans="1:23" x14ac:dyDescent="0.15">
      <c r="A262" s="2" t="s">
        <v>25</v>
      </c>
      <c r="B262" s="2" t="s">
        <v>3944</v>
      </c>
      <c r="C262" s="2" t="s">
        <v>3475</v>
      </c>
      <c r="D262" s="2" t="s">
        <v>688</v>
      </c>
      <c r="E262" s="1"/>
      <c r="F262" s="2" t="s">
        <v>60</v>
      </c>
      <c r="G262" s="2">
        <v>-23.5</v>
      </c>
      <c r="H262" s="2" t="str">
        <f t="shared" si="8"/>
        <v>W</v>
      </c>
      <c r="I262" s="5">
        <v>24.9</v>
      </c>
      <c r="J262" s="5">
        <f xml:space="preserve"> 0.00018*(I262*10)^2.91</f>
        <v>1691.2686751447691</v>
      </c>
      <c r="K262" s="5"/>
      <c r="L262" s="5">
        <v>18.8</v>
      </c>
      <c r="M262" s="2" t="s">
        <v>571</v>
      </c>
      <c r="N262" s="5">
        <v>29.67</v>
      </c>
      <c r="O262" s="5">
        <v>21.17</v>
      </c>
      <c r="P262" s="5">
        <v>7.5</v>
      </c>
      <c r="Q262" s="2" t="s">
        <v>18</v>
      </c>
      <c r="R262" s="5">
        <v>141</v>
      </c>
      <c r="S262" s="5">
        <f>(R262/J262)*100</f>
        <v>8.336936766592137</v>
      </c>
      <c r="V262" s="5"/>
      <c r="W262" s="6" t="s">
        <v>2850</v>
      </c>
    </row>
    <row r="263" spans="1:23" x14ac:dyDescent="0.15">
      <c r="A263" s="2" t="s">
        <v>25</v>
      </c>
      <c r="B263" s="2" t="s">
        <v>3942</v>
      </c>
      <c r="C263" s="2" t="s">
        <v>1071</v>
      </c>
      <c r="D263" s="2" t="s">
        <v>605</v>
      </c>
      <c r="E263" s="1"/>
      <c r="F263" s="2" t="s">
        <v>219</v>
      </c>
      <c r="G263" s="2">
        <v>0.5</v>
      </c>
      <c r="H263" s="2" t="str">
        <f t="shared" si="8"/>
        <v>W</v>
      </c>
      <c r="I263" s="5">
        <v>24</v>
      </c>
      <c r="J263" s="5">
        <f xml:space="preserve"> 0.00051342*(I263*10)^2.6584</f>
        <v>1091.5065528574876</v>
      </c>
      <c r="K263" s="5"/>
      <c r="L263" s="5">
        <v>4</v>
      </c>
      <c r="M263" s="2" t="s">
        <v>571</v>
      </c>
      <c r="N263" s="5">
        <v>41.5</v>
      </c>
      <c r="O263" s="5">
        <v>37.25</v>
      </c>
      <c r="P263" s="5">
        <v>33.125</v>
      </c>
      <c r="Q263" s="2" t="s">
        <v>18</v>
      </c>
      <c r="R263" s="5">
        <f>P263*L263</f>
        <v>132.5</v>
      </c>
      <c r="S263" s="5">
        <f>(R263/J263)*100</f>
        <v>12.139185023958335</v>
      </c>
      <c r="V263" s="5"/>
      <c r="W263" s="6" t="s">
        <v>2212</v>
      </c>
    </row>
    <row r="264" spans="1:23" x14ac:dyDescent="0.15">
      <c r="A264" s="2" t="s">
        <v>25</v>
      </c>
      <c r="B264" s="2" t="s">
        <v>3942</v>
      </c>
      <c r="C264" s="2" t="s">
        <v>1071</v>
      </c>
      <c r="D264" s="2" t="s">
        <v>605</v>
      </c>
      <c r="E264" s="1"/>
      <c r="F264" s="2" t="s">
        <v>848</v>
      </c>
      <c r="G264" s="2">
        <v>2.4</v>
      </c>
      <c r="H264" s="2" t="str">
        <f t="shared" si="8"/>
        <v>W</v>
      </c>
      <c r="I264" s="5"/>
      <c r="J264" s="5"/>
      <c r="K264" s="5">
        <f>MEDIAN(6,10)</f>
        <v>8</v>
      </c>
      <c r="L264" s="5">
        <f>MEDIAN(3,12)</f>
        <v>7.5</v>
      </c>
      <c r="M264" s="2" t="s">
        <v>571</v>
      </c>
      <c r="N264" s="5">
        <v>40</v>
      </c>
      <c r="O264" s="5">
        <v>35.9</v>
      </c>
      <c r="P264" s="5">
        <v>30.8</v>
      </c>
      <c r="Q264" s="2" t="s">
        <v>376</v>
      </c>
      <c r="R264" s="5">
        <f>P264*L264</f>
        <v>231</v>
      </c>
      <c r="S264" s="5"/>
      <c r="T264" s="2" t="s">
        <v>410</v>
      </c>
      <c r="U264" s="40" t="s">
        <v>395</v>
      </c>
      <c r="V264" s="5"/>
      <c r="W264" s="6" t="s">
        <v>2165</v>
      </c>
    </row>
    <row r="265" spans="1:23" ht="15" customHeight="1" x14ac:dyDescent="0.15">
      <c r="A265" s="2" t="s">
        <v>25</v>
      </c>
      <c r="B265" s="2" t="s">
        <v>3942</v>
      </c>
      <c r="C265" s="2" t="s">
        <v>1071</v>
      </c>
      <c r="D265" s="2" t="s">
        <v>605</v>
      </c>
      <c r="E265" s="1"/>
      <c r="F265" s="2" t="s">
        <v>67</v>
      </c>
      <c r="G265" s="2">
        <v>-3.1</v>
      </c>
      <c r="H265" s="2" t="s">
        <v>3887</v>
      </c>
      <c r="I265" s="5"/>
      <c r="J265" s="5"/>
      <c r="K265" s="5"/>
      <c r="L265" s="5">
        <v>4</v>
      </c>
      <c r="M265" s="2" t="s">
        <v>571</v>
      </c>
      <c r="N265" s="5"/>
      <c r="O265" s="5">
        <v>34.4</v>
      </c>
      <c r="P265" s="5">
        <v>30</v>
      </c>
      <c r="Q265" s="2" t="s">
        <v>18</v>
      </c>
      <c r="R265" s="5">
        <f>P265*L265</f>
        <v>120</v>
      </c>
      <c r="S265" s="5"/>
      <c r="V265" s="5"/>
      <c r="W265" s="6" t="s">
        <v>1767</v>
      </c>
    </row>
    <row r="266" spans="1:23" x14ac:dyDescent="0.15">
      <c r="A266" s="2" t="s">
        <v>68</v>
      </c>
      <c r="B266" s="2" t="s">
        <v>3928</v>
      </c>
      <c r="C266" s="2" t="s">
        <v>3476</v>
      </c>
      <c r="D266" s="2" t="s">
        <v>689</v>
      </c>
      <c r="E266" s="1"/>
      <c r="F266" s="2" t="s">
        <v>69</v>
      </c>
      <c r="G266" s="2">
        <v>25.9</v>
      </c>
      <c r="H266" s="2" t="str">
        <f t="shared" si="8"/>
        <v>W</v>
      </c>
      <c r="I266" s="5"/>
      <c r="J266" s="5"/>
      <c r="K266" s="5"/>
      <c r="L266" s="5"/>
      <c r="M266" s="4" t="s">
        <v>191</v>
      </c>
      <c r="N266" s="5"/>
      <c r="O266" s="5"/>
      <c r="P266" s="5"/>
      <c r="R266" s="5"/>
      <c r="S266" s="5"/>
      <c r="T266" s="2">
        <v>3.9</v>
      </c>
      <c r="U266" s="2" t="str">
        <f>IF(T266&lt;=1, "1",IF(AND(T266&gt;1,T266&lt;4), "2-3", "+4"))</f>
        <v>2-3</v>
      </c>
      <c r="V266" s="5"/>
      <c r="W266" s="6" t="s">
        <v>3152</v>
      </c>
    </row>
    <row r="267" spans="1:23" x14ac:dyDescent="0.15">
      <c r="A267" s="2" t="s">
        <v>68</v>
      </c>
      <c r="B267" s="2" t="s">
        <v>3928</v>
      </c>
      <c r="C267" s="2" t="s">
        <v>3476</v>
      </c>
      <c r="D267" s="2" t="s">
        <v>689</v>
      </c>
      <c r="E267" s="1"/>
      <c r="F267" s="2" t="s">
        <v>3149</v>
      </c>
      <c r="G267" s="2" t="s">
        <v>122</v>
      </c>
      <c r="H267" s="2" t="str">
        <f t="shared" si="8"/>
        <v>W</v>
      </c>
      <c r="I267" s="5"/>
      <c r="J267" s="5"/>
      <c r="K267" s="5">
        <v>26.3</v>
      </c>
      <c r="L267" s="5"/>
      <c r="M267" s="4" t="s">
        <v>191</v>
      </c>
      <c r="N267" s="5"/>
      <c r="O267" s="5"/>
      <c r="P267" s="5"/>
      <c r="R267" s="5"/>
      <c r="S267" s="5"/>
      <c r="V267" s="5"/>
      <c r="W267" s="6" t="s">
        <v>3153</v>
      </c>
    </row>
    <row r="268" spans="1:23" x14ac:dyDescent="0.15">
      <c r="A268" s="4" t="s">
        <v>68</v>
      </c>
      <c r="B268" s="2" t="s">
        <v>3928</v>
      </c>
      <c r="C268" s="4" t="s">
        <v>3476</v>
      </c>
      <c r="D268" s="4" t="s">
        <v>689</v>
      </c>
      <c r="E268" s="1"/>
      <c r="F268" s="4" t="s">
        <v>72</v>
      </c>
      <c r="G268" s="4">
        <v>21.9</v>
      </c>
      <c r="H268" s="2" t="str">
        <f t="shared" si="8"/>
        <v>W</v>
      </c>
      <c r="I268" s="33"/>
      <c r="J268" s="33"/>
      <c r="K268" s="33"/>
      <c r="L268" s="33">
        <v>93</v>
      </c>
      <c r="M268" s="4" t="s">
        <v>191</v>
      </c>
      <c r="N268" s="33"/>
      <c r="O268" s="33"/>
      <c r="P268" s="33"/>
      <c r="Q268" s="4"/>
      <c r="R268" s="33"/>
      <c r="S268" s="33"/>
      <c r="T268" s="4"/>
      <c r="U268" s="4"/>
      <c r="V268" s="33"/>
      <c r="W268" s="10" t="s">
        <v>1770</v>
      </c>
    </row>
    <row r="269" spans="1:23" x14ac:dyDescent="0.15">
      <c r="A269" s="2" t="s">
        <v>68</v>
      </c>
      <c r="B269" s="2" t="s">
        <v>3928</v>
      </c>
      <c r="C269" s="2" t="s">
        <v>3476</v>
      </c>
      <c r="D269" s="2" t="s">
        <v>689</v>
      </c>
      <c r="E269" s="1"/>
      <c r="F269" s="2" t="s">
        <v>26</v>
      </c>
      <c r="G269" s="2">
        <v>-19</v>
      </c>
      <c r="H269" s="2" t="str">
        <f t="shared" si="8"/>
        <v>W</v>
      </c>
      <c r="I269" s="5"/>
      <c r="J269" s="5"/>
      <c r="K269" s="5"/>
      <c r="L269" s="5">
        <v>119.7</v>
      </c>
      <c r="M269" s="4" t="s">
        <v>191</v>
      </c>
      <c r="N269" s="5"/>
      <c r="O269" s="5"/>
      <c r="P269" s="5"/>
      <c r="R269" s="5"/>
      <c r="S269" s="5"/>
      <c r="V269" s="5"/>
      <c r="W269" s="6" t="s">
        <v>3154</v>
      </c>
    </row>
    <row r="270" spans="1:23" x14ac:dyDescent="0.15">
      <c r="A270" s="2" t="s">
        <v>68</v>
      </c>
      <c r="B270" s="2" t="s">
        <v>3928</v>
      </c>
      <c r="C270" s="2" t="s">
        <v>3476</v>
      </c>
      <c r="D270" s="2" t="s">
        <v>689</v>
      </c>
      <c r="E270" s="1"/>
      <c r="F270" s="2" t="s">
        <v>70</v>
      </c>
      <c r="G270" s="2">
        <v>36.619999999999997</v>
      </c>
      <c r="H270" s="2" t="str">
        <f t="shared" si="8"/>
        <v>W</v>
      </c>
      <c r="I270" s="5">
        <v>73.2</v>
      </c>
      <c r="J270" s="34">
        <v>60622</v>
      </c>
      <c r="K270" s="5"/>
      <c r="L270" s="5">
        <v>84</v>
      </c>
      <c r="M270" s="4" t="s">
        <v>191</v>
      </c>
      <c r="N270" s="5"/>
      <c r="O270" s="5"/>
      <c r="P270" s="5"/>
      <c r="R270" s="5"/>
      <c r="S270" s="5"/>
      <c r="T270" s="2">
        <v>1.4</v>
      </c>
      <c r="U270" s="2" t="str">
        <f>IF(T270&lt;=1, "1",IF(AND(T270&gt;1,T270&lt;4), "2-3", "+4"))</f>
        <v>2-3</v>
      </c>
      <c r="V270" s="5"/>
      <c r="W270" s="6" t="s">
        <v>3155</v>
      </c>
    </row>
    <row r="271" spans="1:23" x14ac:dyDescent="0.15">
      <c r="A271" s="2" t="s">
        <v>68</v>
      </c>
      <c r="B271" s="2" t="s">
        <v>3928</v>
      </c>
      <c r="C271" s="2" t="s">
        <v>3476</v>
      </c>
      <c r="D271" s="2" t="s">
        <v>689</v>
      </c>
      <c r="E271" s="1"/>
      <c r="F271" s="2" t="s">
        <v>69</v>
      </c>
      <c r="G271" s="2">
        <v>28.07</v>
      </c>
      <c r="H271" s="2" t="str">
        <f t="shared" si="8"/>
        <v>W</v>
      </c>
      <c r="I271" s="5">
        <v>92</v>
      </c>
      <c r="J271" s="34">
        <v>112815</v>
      </c>
      <c r="K271" s="5"/>
      <c r="L271" s="5"/>
      <c r="M271" s="4" t="s">
        <v>191</v>
      </c>
      <c r="N271" s="5"/>
      <c r="O271" s="5"/>
      <c r="P271" s="5"/>
      <c r="R271" s="5"/>
      <c r="S271" s="5"/>
      <c r="V271" s="5"/>
      <c r="W271" s="6" t="s">
        <v>3156</v>
      </c>
    </row>
    <row r="272" spans="1:23" x14ac:dyDescent="0.15">
      <c r="A272" s="2" t="s">
        <v>68</v>
      </c>
      <c r="B272" s="2" t="s">
        <v>3928</v>
      </c>
      <c r="C272" s="2" t="s">
        <v>3476</v>
      </c>
      <c r="D272" s="2" t="s">
        <v>689</v>
      </c>
      <c r="E272" s="1"/>
      <c r="F272" s="2" t="s">
        <v>890</v>
      </c>
      <c r="G272" s="2">
        <v>39.799999999999997</v>
      </c>
      <c r="H272" s="2" t="str">
        <f t="shared" si="8"/>
        <v>W</v>
      </c>
      <c r="I272" s="5"/>
      <c r="J272" s="34"/>
      <c r="K272" s="5"/>
      <c r="L272" s="5">
        <v>129</v>
      </c>
      <c r="M272" s="4" t="s">
        <v>191</v>
      </c>
      <c r="N272" s="5">
        <v>38</v>
      </c>
      <c r="O272" s="5"/>
      <c r="P272" s="5">
        <f xml:space="preserve"> 2.0988*N272 - 50.11</f>
        <v>29.644400000000005</v>
      </c>
      <c r="Q272" s="2" t="s">
        <v>376</v>
      </c>
      <c r="R272" s="5">
        <f>P272*L272</f>
        <v>3824.1276000000007</v>
      </c>
      <c r="S272" s="5"/>
      <c r="V272" s="5"/>
      <c r="W272" s="6" t="s">
        <v>3157</v>
      </c>
    </row>
    <row r="273" spans="1:23" x14ac:dyDescent="0.15">
      <c r="A273" s="2" t="s">
        <v>68</v>
      </c>
      <c r="B273" s="2" t="s">
        <v>3928</v>
      </c>
      <c r="C273" s="2" t="s">
        <v>3476</v>
      </c>
      <c r="D273" s="2" t="s">
        <v>689</v>
      </c>
      <c r="E273" s="1"/>
      <c r="F273" s="2" t="s">
        <v>123</v>
      </c>
      <c r="G273" s="2">
        <v>33.01</v>
      </c>
      <c r="H273" s="2" t="str">
        <f t="shared" si="8"/>
        <v>W</v>
      </c>
      <c r="I273" s="5">
        <v>92.71</v>
      </c>
      <c r="J273" s="34">
        <v>115196</v>
      </c>
      <c r="K273" s="5"/>
      <c r="L273" s="5">
        <v>126</v>
      </c>
      <c r="M273" s="4" t="s">
        <v>191</v>
      </c>
      <c r="N273" s="5">
        <v>41.5</v>
      </c>
      <c r="O273" s="5"/>
      <c r="P273" s="5">
        <v>35</v>
      </c>
      <c r="Q273" s="2" t="s">
        <v>18</v>
      </c>
      <c r="R273" s="5">
        <v>4410</v>
      </c>
      <c r="S273" s="5">
        <v>3.83</v>
      </c>
      <c r="V273" s="5"/>
      <c r="W273" s="6" t="s">
        <v>3158</v>
      </c>
    </row>
    <row r="274" spans="1:23" x14ac:dyDescent="0.15">
      <c r="A274" s="2" t="s">
        <v>68</v>
      </c>
      <c r="B274" s="2" t="s">
        <v>3928</v>
      </c>
      <c r="C274" s="2" t="s">
        <v>3476</v>
      </c>
      <c r="D274" s="2" t="s">
        <v>689</v>
      </c>
      <c r="E274" s="1"/>
      <c r="F274" s="2" t="s">
        <v>69</v>
      </c>
      <c r="G274" s="2">
        <v>28.5</v>
      </c>
      <c r="H274" s="2" t="str">
        <f t="shared" si="8"/>
        <v>W</v>
      </c>
      <c r="I274" s="5">
        <v>92.47</v>
      </c>
      <c r="J274" s="34">
        <v>111270</v>
      </c>
      <c r="K274" s="5"/>
      <c r="L274" s="5">
        <v>110</v>
      </c>
      <c r="M274" s="4" t="s">
        <v>191</v>
      </c>
      <c r="N274" s="5">
        <v>42.07</v>
      </c>
      <c r="O274" s="5"/>
      <c r="P274" s="5">
        <v>41.19</v>
      </c>
      <c r="Q274" s="2" t="s">
        <v>18</v>
      </c>
      <c r="R274" s="5">
        <v>4530.8999999999996</v>
      </c>
      <c r="S274" s="5">
        <v>4.07</v>
      </c>
      <c r="T274" s="9">
        <f>MEDIAN(2,3)</f>
        <v>2.5</v>
      </c>
      <c r="U274" s="2" t="str">
        <f>IF(T274&lt;=1, "1",IF(AND(T274&gt;1,T274&lt;4), "2-3", "+4"))</f>
        <v>2-3</v>
      </c>
      <c r="V274" s="5">
        <f>S274*T274</f>
        <v>10.175000000000001</v>
      </c>
      <c r="W274" s="6" t="s">
        <v>3129</v>
      </c>
    </row>
    <row r="275" spans="1:23" x14ac:dyDescent="0.15">
      <c r="A275" s="4" t="s">
        <v>68</v>
      </c>
      <c r="B275" s="2" t="s">
        <v>3928</v>
      </c>
      <c r="C275" s="4" t="s">
        <v>3476</v>
      </c>
      <c r="D275" s="4" t="s">
        <v>689</v>
      </c>
      <c r="E275" s="1"/>
      <c r="F275" s="4" t="s">
        <v>69</v>
      </c>
      <c r="G275" s="4">
        <v>28.82</v>
      </c>
      <c r="H275" s="2" t="str">
        <f t="shared" si="8"/>
        <v>W</v>
      </c>
      <c r="I275" s="33">
        <v>91.6</v>
      </c>
      <c r="J275" s="34">
        <v>115900</v>
      </c>
      <c r="K275" s="33">
        <v>20</v>
      </c>
      <c r="L275" s="33"/>
      <c r="M275" s="4" t="s">
        <v>191</v>
      </c>
      <c r="N275" s="33"/>
      <c r="O275" s="33"/>
      <c r="P275" s="5"/>
      <c r="R275" s="5"/>
      <c r="S275" s="5"/>
      <c r="T275" s="2">
        <v>1.3</v>
      </c>
      <c r="U275" s="2" t="str">
        <f>IF(T275&lt;=1, "1",IF(AND(T275&gt;1,T275&lt;4), "2-3", "+4"))</f>
        <v>2-3</v>
      </c>
      <c r="V275" s="5"/>
      <c r="W275" s="10" t="s">
        <v>1768</v>
      </c>
    </row>
    <row r="276" spans="1:23" x14ac:dyDescent="0.15">
      <c r="A276" s="4" t="s">
        <v>68</v>
      </c>
      <c r="B276" s="2" t="s">
        <v>3928</v>
      </c>
      <c r="C276" s="4" t="s">
        <v>3476</v>
      </c>
      <c r="D276" s="4" t="s">
        <v>689</v>
      </c>
      <c r="E276" s="1"/>
      <c r="F276" s="4" t="s">
        <v>69</v>
      </c>
      <c r="G276" s="4">
        <v>28</v>
      </c>
      <c r="H276" s="2" t="str">
        <f t="shared" si="8"/>
        <v>W</v>
      </c>
      <c r="I276" s="33">
        <v>91.2</v>
      </c>
      <c r="J276" s="34">
        <f xml:space="preserve"> (0.0005209*I276^2.717)*1000</f>
        <v>110169.23485019736</v>
      </c>
      <c r="K276" s="5"/>
      <c r="L276" s="33">
        <v>114</v>
      </c>
      <c r="M276" s="4" t="s">
        <v>191</v>
      </c>
      <c r="N276" s="33"/>
      <c r="O276" s="33"/>
      <c r="P276" s="5"/>
      <c r="R276" s="5"/>
      <c r="S276" s="5"/>
      <c r="V276" s="5"/>
      <c r="W276" s="10" t="s">
        <v>1892</v>
      </c>
    </row>
    <row r="277" spans="1:23" x14ac:dyDescent="0.15">
      <c r="A277" s="2" t="s">
        <v>68</v>
      </c>
      <c r="B277" s="2" t="s">
        <v>3928</v>
      </c>
      <c r="C277" s="2" t="s">
        <v>3476</v>
      </c>
      <c r="D277" s="2" t="s">
        <v>689</v>
      </c>
      <c r="E277" s="1"/>
      <c r="F277" s="2" t="s">
        <v>70</v>
      </c>
      <c r="G277" s="2">
        <v>36.83</v>
      </c>
      <c r="H277" s="2" t="str">
        <f t="shared" si="8"/>
        <v>W</v>
      </c>
      <c r="I277" s="5">
        <v>73.099999999999994</v>
      </c>
      <c r="J277" s="34">
        <v>60397</v>
      </c>
      <c r="K277" s="5"/>
      <c r="L277" s="5">
        <v>73.400000000000006</v>
      </c>
      <c r="M277" s="4" t="s">
        <v>191</v>
      </c>
      <c r="N277" s="5">
        <v>37</v>
      </c>
      <c r="O277" s="5"/>
      <c r="P277" s="5">
        <v>27.5</v>
      </c>
      <c r="Q277" s="2" t="s">
        <v>18</v>
      </c>
      <c r="R277" s="5">
        <v>2018.5</v>
      </c>
      <c r="S277" s="5">
        <v>3.34</v>
      </c>
      <c r="V277" s="5"/>
      <c r="W277" s="6" t="s">
        <v>3159</v>
      </c>
    </row>
    <row r="278" spans="1:23" x14ac:dyDescent="0.15">
      <c r="A278" s="2" t="s">
        <v>68</v>
      </c>
      <c r="B278" s="2" t="s">
        <v>3928</v>
      </c>
      <c r="C278" s="2" t="s">
        <v>3476</v>
      </c>
      <c r="D278" s="2" t="s">
        <v>689</v>
      </c>
      <c r="E278" s="1"/>
      <c r="F278" s="2" t="s">
        <v>4137</v>
      </c>
      <c r="G278" s="2">
        <v>26.69</v>
      </c>
      <c r="H278" s="2" t="s">
        <v>30</v>
      </c>
      <c r="I278" s="5"/>
      <c r="J278" s="34"/>
      <c r="K278" s="5">
        <v>22</v>
      </c>
      <c r="L278" s="5"/>
      <c r="M278" s="4"/>
      <c r="N278" s="5"/>
      <c r="O278" s="5"/>
      <c r="P278" s="5"/>
      <c r="R278" s="5"/>
      <c r="S278" s="5"/>
      <c r="V278" s="5"/>
      <c r="W278" s="6" t="s">
        <v>4136</v>
      </c>
    </row>
    <row r="279" spans="1:23" x14ac:dyDescent="0.15">
      <c r="A279" s="2" t="s">
        <v>68</v>
      </c>
      <c r="B279" s="2" t="s">
        <v>3928</v>
      </c>
      <c r="C279" s="2" t="s">
        <v>3476</v>
      </c>
      <c r="D279" s="2" t="s">
        <v>689</v>
      </c>
      <c r="E279" s="1"/>
      <c r="F279" s="2" t="s">
        <v>908</v>
      </c>
      <c r="G279" s="2">
        <v>30.98</v>
      </c>
      <c r="H279" s="2" t="str">
        <f t="shared" si="8"/>
        <v>W</v>
      </c>
      <c r="I279" s="5"/>
      <c r="J279" s="35"/>
      <c r="K279" s="5"/>
      <c r="L279" s="5">
        <v>121.12</v>
      </c>
      <c r="M279" s="2" t="s">
        <v>191</v>
      </c>
      <c r="N279" s="5"/>
      <c r="O279" s="5"/>
      <c r="P279" s="5"/>
      <c r="R279" s="5"/>
      <c r="S279" s="5"/>
      <c r="V279" s="5"/>
      <c r="W279" s="6" t="s">
        <v>3384</v>
      </c>
    </row>
    <row r="280" spans="1:23" x14ac:dyDescent="0.15">
      <c r="A280" s="2" t="s">
        <v>68</v>
      </c>
      <c r="B280" s="2" t="s">
        <v>3928</v>
      </c>
      <c r="C280" s="2" t="s">
        <v>3476</v>
      </c>
      <c r="D280" s="2" t="s">
        <v>689</v>
      </c>
      <c r="E280" s="1"/>
      <c r="F280" s="2" t="s">
        <v>908</v>
      </c>
      <c r="G280" s="2">
        <v>30.98</v>
      </c>
      <c r="H280" s="2" t="str">
        <f t="shared" si="8"/>
        <v>W</v>
      </c>
      <c r="I280" s="5"/>
      <c r="J280" s="35"/>
      <c r="K280" s="5"/>
      <c r="L280" s="5">
        <v>119.8</v>
      </c>
      <c r="M280" s="4" t="s">
        <v>191</v>
      </c>
      <c r="N280" s="5"/>
      <c r="O280" s="5"/>
      <c r="P280" s="5"/>
      <c r="R280" s="5"/>
      <c r="S280" s="5"/>
      <c r="T280" s="2">
        <v>3.43</v>
      </c>
      <c r="U280" s="2" t="str">
        <f>IF(T280&lt;=1, "1",IF(AND(T280&gt;1,T280&lt;4), "2-3", "+4"))</f>
        <v>2-3</v>
      </c>
      <c r="V280" s="5"/>
      <c r="W280" s="6" t="s">
        <v>3161</v>
      </c>
    </row>
    <row r="281" spans="1:23" x14ac:dyDescent="0.15">
      <c r="A281" s="2" t="s">
        <v>68</v>
      </c>
      <c r="B281" s="2" t="s">
        <v>3928</v>
      </c>
      <c r="C281" s="2" t="s">
        <v>3476</v>
      </c>
      <c r="D281" s="2" t="s">
        <v>689</v>
      </c>
      <c r="E281" s="1"/>
      <c r="F281" s="2" t="s">
        <v>70</v>
      </c>
      <c r="G281" s="2">
        <v>38.83</v>
      </c>
      <c r="H281" s="2" t="str">
        <f t="shared" si="8"/>
        <v>W</v>
      </c>
      <c r="I281" s="5">
        <f>EXP(LN(57.5/0.0005209)/2.717)</f>
        <v>71.789253255448045</v>
      </c>
      <c r="J281" s="34">
        <v>57500</v>
      </c>
      <c r="K281" s="5"/>
      <c r="L281" s="5">
        <v>93</v>
      </c>
      <c r="M281" s="4" t="s">
        <v>191</v>
      </c>
      <c r="N281" s="5">
        <v>39</v>
      </c>
      <c r="O281" s="5"/>
      <c r="P281" s="5">
        <v>20.3</v>
      </c>
      <c r="Q281" s="2" t="s">
        <v>18</v>
      </c>
      <c r="R281" s="5">
        <v>1887.9</v>
      </c>
      <c r="S281" s="5">
        <v>3.28</v>
      </c>
      <c r="V281" s="5"/>
      <c r="W281" s="6" t="s">
        <v>3236</v>
      </c>
    </row>
    <row r="282" spans="1:23" x14ac:dyDescent="0.15">
      <c r="A282" s="2" t="s">
        <v>68</v>
      </c>
      <c r="B282" s="2" t="s">
        <v>3928</v>
      </c>
      <c r="C282" s="2" t="s">
        <v>3476</v>
      </c>
      <c r="D282" s="2" t="s">
        <v>689</v>
      </c>
      <c r="E282" s="1"/>
      <c r="F282" s="2" t="s">
        <v>135</v>
      </c>
      <c r="G282" s="2">
        <v>41.11</v>
      </c>
      <c r="H282" s="2" t="str">
        <f t="shared" si="8"/>
        <v>W</v>
      </c>
      <c r="I282" s="5"/>
      <c r="J282" s="34"/>
      <c r="K282" s="5">
        <v>20</v>
      </c>
      <c r="L282" s="5"/>
      <c r="M282" s="4" t="s">
        <v>191</v>
      </c>
      <c r="N282" s="5"/>
      <c r="O282" s="5"/>
      <c r="P282" s="5"/>
      <c r="R282" s="5"/>
      <c r="S282" s="5"/>
      <c r="V282" s="5"/>
      <c r="W282" s="6" t="s">
        <v>3162</v>
      </c>
    </row>
    <row r="283" spans="1:23" x14ac:dyDescent="0.15">
      <c r="A283" s="2" t="s">
        <v>68</v>
      </c>
      <c r="B283" s="2" t="s">
        <v>3928</v>
      </c>
      <c r="C283" s="2" t="s">
        <v>3476</v>
      </c>
      <c r="D283" s="2" t="s">
        <v>689</v>
      </c>
      <c r="E283" s="1"/>
      <c r="F283" s="2" t="s">
        <v>3113</v>
      </c>
      <c r="G283" s="2">
        <v>30.4</v>
      </c>
      <c r="H283" s="2" t="str">
        <f t="shared" si="8"/>
        <v>W</v>
      </c>
      <c r="I283" s="5">
        <v>85.2</v>
      </c>
      <c r="J283" s="34">
        <v>91571</v>
      </c>
      <c r="K283" s="5"/>
      <c r="L283" s="5"/>
      <c r="M283" s="4" t="s">
        <v>191</v>
      </c>
      <c r="N283" s="5">
        <v>37.700000000000003</v>
      </c>
      <c r="O283" s="5"/>
      <c r="P283" s="5">
        <v>29.73</v>
      </c>
      <c r="Q283" s="2" t="s">
        <v>18</v>
      </c>
      <c r="R283" s="5"/>
      <c r="S283" s="5"/>
      <c r="V283" s="5"/>
      <c r="W283" s="6" t="s">
        <v>3130</v>
      </c>
    </row>
    <row r="284" spans="1:23" x14ac:dyDescent="0.15">
      <c r="A284" s="2" t="s">
        <v>68</v>
      </c>
      <c r="B284" s="2" t="s">
        <v>3928</v>
      </c>
      <c r="C284" s="2" t="s">
        <v>3476</v>
      </c>
      <c r="D284" s="2" t="s">
        <v>689</v>
      </c>
      <c r="E284" s="1"/>
      <c r="F284" s="2" t="s">
        <v>3114</v>
      </c>
      <c r="G284" s="2">
        <v>30.4</v>
      </c>
      <c r="H284" s="2" t="str">
        <f t="shared" si="8"/>
        <v>W</v>
      </c>
      <c r="I284" s="5">
        <v>78.900000000000006</v>
      </c>
      <c r="J284" s="34">
        <v>74321</v>
      </c>
      <c r="K284" s="5"/>
      <c r="L284" s="5"/>
      <c r="M284" s="4" t="s">
        <v>191</v>
      </c>
      <c r="N284" s="5">
        <v>36.700000000000003</v>
      </c>
      <c r="O284" s="5"/>
      <c r="P284" s="5">
        <v>27.52</v>
      </c>
      <c r="Q284" s="2" t="s">
        <v>18</v>
      </c>
      <c r="R284" s="5"/>
      <c r="S284" s="5"/>
      <c r="V284" s="5"/>
      <c r="W284" s="6" t="s">
        <v>3130</v>
      </c>
    </row>
    <row r="285" spans="1:23" x14ac:dyDescent="0.15">
      <c r="A285" s="2" t="s">
        <v>68</v>
      </c>
      <c r="B285" s="2" t="s">
        <v>3928</v>
      </c>
      <c r="C285" s="2" t="s">
        <v>3476</v>
      </c>
      <c r="D285" s="2" t="s">
        <v>689</v>
      </c>
      <c r="E285" s="1"/>
      <c r="F285" s="2" t="s">
        <v>71</v>
      </c>
      <c r="G285" s="2">
        <v>38.18</v>
      </c>
      <c r="H285" s="2" t="str">
        <f t="shared" si="8"/>
        <v>W</v>
      </c>
      <c r="I285" s="5">
        <f>81.7/1.08</f>
        <v>75.648148148148152</v>
      </c>
      <c r="J285" s="34">
        <v>68500</v>
      </c>
      <c r="K285" s="5"/>
      <c r="L285" s="5">
        <v>115</v>
      </c>
      <c r="M285" s="4" t="s">
        <v>191</v>
      </c>
      <c r="N285" s="5">
        <v>38.200000000000003</v>
      </c>
      <c r="O285" s="5"/>
      <c r="P285" s="5">
        <f xml:space="preserve"> 2.0988*N285 - 50.11</f>
        <v>30.064160000000015</v>
      </c>
      <c r="Q285" s="2" t="s">
        <v>376</v>
      </c>
      <c r="R285" s="5">
        <f>P285*L285</f>
        <v>3457.3784000000019</v>
      </c>
      <c r="S285" s="5">
        <f>(R285/J285)*100</f>
        <v>5.0472677372262806</v>
      </c>
      <c r="V285" s="5"/>
      <c r="W285" s="6" t="s">
        <v>3163</v>
      </c>
    </row>
    <row r="286" spans="1:23" x14ac:dyDescent="0.15">
      <c r="A286" s="2" t="s">
        <v>68</v>
      </c>
      <c r="B286" s="2" t="s">
        <v>3928</v>
      </c>
      <c r="C286" s="2" t="s">
        <v>3476</v>
      </c>
      <c r="D286" s="2" t="s">
        <v>689</v>
      </c>
      <c r="E286" s="1"/>
      <c r="F286" s="2" t="s">
        <v>219</v>
      </c>
      <c r="G286" s="2">
        <v>11.24</v>
      </c>
      <c r="H286" s="2" t="str">
        <f t="shared" ref="H286:H317" si="9">IF(G286="captive","C","W")</f>
        <v>W</v>
      </c>
      <c r="I286" s="5"/>
      <c r="J286" s="34"/>
      <c r="K286" s="5"/>
      <c r="L286" s="5">
        <v>106</v>
      </c>
      <c r="M286" s="4" t="s">
        <v>191</v>
      </c>
      <c r="N286" s="5">
        <v>43.3</v>
      </c>
      <c r="O286" s="5"/>
      <c r="P286" s="5">
        <v>38.4</v>
      </c>
      <c r="Q286" s="2" t="s">
        <v>18</v>
      </c>
      <c r="R286" s="5">
        <v>4070.4</v>
      </c>
      <c r="S286" s="5"/>
      <c r="V286" s="5"/>
      <c r="W286" s="6" t="s">
        <v>3164</v>
      </c>
    </row>
    <row r="287" spans="1:23" x14ac:dyDescent="0.15">
      <c r="A287" s="2" t="s">
        <v>68</v>
      </c>
      <c r="B287" s="2" t="s">
        <v>3928</v>
      </c>
      <c r="C287" s="2" t="s">
        <v>3476</v>
      </c>
      <c r="D287" s="2" t="s">
        <v>689</v>
      </c>
      <c r="E287" s="1"/>
      <c r="F287" s="2" t="s">
        <v>69</v>
      </c>
      <c r="G287" s="2">
        <v>26.5</v>
      </c>
      <c r="H287" s="2" t="str">
        <f t="shared" si="9"/>
        <v>W</v>
      </c>
      <c r="I287" s="5">
        <v>90.2</v>
      </c>
      <c r="J287" s="34">
        <v>106918</v>
      </c>
      <c r="K287" s="5"/>
      <c r="L287" s="5">
        <v>116</v>
      </c>
      <c r="M287" s="4" t="s">
        <v>191</v>
      </c>
      <c r="N287" s="5">
        <v>43</v>
      </c>
      <c r="O287" s="5">
        <v>42.5</v>
      </c>
      <c r="P287" s="5">
        <f xml:space="preserve"> 2.0988*N287 - 50.11</f>
        <v>40.138400000000004</v>
      </c>
      <c r="Q287" s="2" t="s">
        <v>376</v>
      </c>
      <c r="R287" s="5">
        <v>4756</v>
      </c>
      <c r="S287" s="5">
        <v>4.45</v>
      </c>
      <c r="T287" s="2" t="s">
        <v>524</v>
      </c>
      <c r="U287" s="40" t="s">
        <v>395</v>
      </c>
      <c r="V287" s="5"/>
      <c r="W287" s="6" t="s">
        <v>3165</v>
      </c>
    </row>
    <row r="288" spans="1:23" x14ac:dyDescent="0.15">
      <c r="A288" s="2" t="s">
        <v>68</v>
      </c>
      <c r="B288" s="2" t="s">
        <v>3928</v>
      </c>
      <c r="C288" s="2" t="s">
        <v>3476</v>
      </c>
      <c r="D288" s="2" t="s">
        <v>689</v>
      </c>
      <c r="E288" s="1"/>
      <c r="F288" s="2" t="s">
        <v>59</v>
      </c>
      <c r="G288" s="2">
        <v>-24.81</v>
      </c>
      <c r="H288" s="2" t="str">
        <f t="shared" si="9"/>
        <v>W</v>
      </c>
      <c r="I288" s="5">
        <v>90.11</v>
      </c>
      <c r="J288" s="34">
        <v>106642</v>
      </c>
      <c r="K288" s="5"/>
      <c r="L288" s="5">
        <v>133</v>
      </c>
      <c r="M288" s="4" t="s">
        <v>191</v>
      </c>
      <c r="N288" s="5">
        <v>40.1</v>
      </c>
      <c r="O288" s="5"/>
      <c r="P288" s="5">
        <v>36.049999999999997</v>
      </c>
      <c r="Q288" s="2" t="s">
        <v>376</v>
      </c>
      <c r="R288" s="5">
        <v>4794.1000000000004</v>
      </c>
      <c r="S288" s="5">
        <v>4.5</v>
      </c>
      <c r="T288" s="2" t="s">
        <v>399</v>
      </c>
      <c r="V288" s="5"/>
      <c r="W288" s="6" t="s">
        <v>3166</v>
      </c>
    </row>
    <row r="289" spans="1:24" x14ac:dyDescent="0.15">
      <c r="A289" s="2" t="s">
        <v>68</v>
      </c>
      <c r="B289" s="2" t="s">
        <v>3928</v>
      </c>
      <c r="C289" s="2" t="s">
        <v>3476</v>
      </c>
      <c r="D289" s="2" t="s">
        <v>689</v>
      </c>
      <c r="E289" s="1"/>
      <c r="F289" s="2" t="s">
        <v>59</v>
      </c>
      <c r="G289" s="2">
        <v>-23.44</v>
      </c>
      <c r="H289" s="2" t="str">
        <f t="shared" si="9"/>
        <v>W</v>
      </c>
      <c r="I289" s="5">
        <f>95.7/1.08</f>
        <v>88.611111111111114</v>
      </c>
      <c r="J289" s="34">
        <f xml:space="preserve"> (0.0005209*I289^2.717)*1000</f>
        <v>101877.84473322333</v>
      </c>
      <c r="K289" s="5"/>
      <c r="L289" s="5">
        <v>124.37</v>
      </c>
      <c r="M289" s="2" t="s">
        <v>191</v>
      </c>
      <c r="N289" s="5">
        <v>41.2</v>
      </c>
      <c r="O289" s="5">
        <v>41.2</v>
      </c>
      <c r="P289" s="5">
        <v>39.22</v>
      </c>
      <c r="Q289" s="2" t="s">
        <v>18</v>
      </c>
      <c r="R289" s="5">
        <v>4877.8</v>
      </c>
      <c r="S289" s="5">
        <f>(R289/J289)*100</f>
        <v>4.7878908439543215</v>
      </c>
      <c r="V289" s="5"/>
      <c r="W289" s="6" t="s">
        <v>3337</v>
      </c>
    </row>
    <row r="290" spans="1:24" x14ac:dyDescent="0.15">
      <c r="A290" s="2" t="s">
        <v>68</v>
      </c>
      <c r="B290" s="2" t="s">
        <v>3928</v>
      </c>
      <c r="C290" s="2" t="s">
        <v>3476</v>
      </c>
      <c r="D290" s="2" t="s">
        <v>689</v>
      </c>
      <c r="E290" s="1"/>
      <c r="F290" s="2" t="s">
        <v>71</v>
      </c>
      <c r="G290" s="2">
        <v>37.75</v>
      </c>
      <c r="H290" s="2" t="str">
        <f t="shared" si="9"/>
        <v>W</v>
      </c>
      <c r="I290" s="5"/>
      <c r="J290" s="34"/>
      <c r="K290" s="5"/>
      <c r="L290" s="5">
        <v>116.5</v>
      </c>
      <c r="M290" s="4" t="s">
        <v>191</v>
      </c>
      <c r="N290" s="5"/>
      <c r="O290" s="5"/>
      <c r="P290" s="5"/>
      <c r="R290" s="5"/>
      <c r="S290" s="5"/>
      <c r="V290" s="5"/>
      <c r="W290" s="6" t="s">
        <v>3167</v>
      </c>
    </row>
    <row r="291" spans="1:24" x14ac:dyDescent="0.15">
      <c r="A291" s="4" t="s">
        <v>68</v>
      </c>
      <c r="B291" s="2" t="s">
        <v>3928</v>
      </c>
      <c r="C291" s="4" t="s">
        <v>3476</v>
      </c>
      <c r="D291" s="4" t="s">
        <v>689</v>
      </c>
      <c r="E291" s="1"/>
      <c r="F291" s="4" t="s">
        <v>71</v>
      </c>
      <c r="G291" s="4">
        <v>37.68</v>
      </c>
      <c r="H291" s="2" t="str">
        <f t="shared" si="9"/>
        <v>W</v>
      </c>
      <c r="I291" s="5"/>
      <c r="J291" s="34"/>
      <c r="K291" s="33"/>
      <c r="L291" s="33">
        <v>116.5</v>
      </c>
      <c r="M291" s="4" t="s">
        <v>191</v>
      </c>
      <c r="N291" s="33"/>
      <c r="O291" s="33"/>
      <c r="P291" s="5"/>
      <c r="R291" s="5"/>
      <c r="S291" s="5"/>
      <c r="V291" s="33"/>
      <c r="W291" s="10" t="s">
        <v>1769</v>
      </c>
    </row>
    <row r="292" spans="1:24" x14ac:dyDescent="0.15">
      <c r="A292" s="2" t="s">
        <v>68</v>
      </c>
      <c r="B292" s="2" t="s">
        <v>3928</v>
      </c>
      <c r="C292" s="2" t="s">
        <v>3476</v>
      </c>
      <c r="D292" s="2" t="s">
        <v>689</v>
      </c>
      <c r="E292" s="1"/>
      <c r="F292" s="2" t="s">
        <v>217</v>
      </c>
      <c r="G292" s="2">
        <v>24.4</v>
      </c>
      <c r="H292" s="2" t="str">
        <f t="shared" si="9"/>
        <v>W</v>
      </c>
      <c r="I292" s="5">
        <v>87.2</v>
      </c>
      <c r="J292" s="34">
        <f xml:space="preserve"> (0.0005209*I292^2.717)*1000</f>
        <v>97529.870372848454</v>
      </c>
      <c r="K292" s="5"/>
      <c r="L292" s="5">
        <v>103.4</v>
      </c>
      <c r="M292" s="4" t="s">
        <v>191</v>
      </c>
      <c r="N292" s="5"/>
      <c r="O292" s="5"/>
      <c r="P292" s="5"/>
      <c r="R292" s="5"/>
      <c r="S292" s="5"/>
      <c r="T292" s="2">
        <v>2</v>
      </c>
      <c r="U292" s="2" t="str">
        <f>IF(T292&lt;=1, "1",IF(AND(T292&gt;1,T292&lt;4), "2-3", "+4"))</f>
        <v>2-3</v>
      </c>
      <c r="V292" s="5"/>
      <c r="W292" s="6" t="s">
        <v>3235</v>
      </c>
    </row>
    <row r="293" spans="1:24" x14ac:dyDescent="0.15">
      <c r="A293" s="2" t="s">
        <v>68</v>
      </c>
      <c r="B293" s="2" t="s">
        <v>3928</v>
      </c>
      <c r="C293" s="2" t="s">
        <v>3476</v>
      </c>
      <c r="D293" s="2" t="s">
        <v>689</v>
      </c>
      <c r="E293" s="1"/>
      <c r="F293" s="2" t="s">
        <v>123</v>
      </c>
      <c r="G293" s="2">
        <v>32.61</v>
      </c>
      <c r="H293" s="2" t="str">
        <f t="shared" si="9"/>
        <v>W</v>
      </c>
      <c r="I293" s="5">
        <v>93.7</v>
      </c>
      <c r="J293" s="34">
        <f xml:space="preserve"> (0.00182*I293^2.4444)*1000</f>
        <v>120168.77775381833</v>
      </c>
      <c r="K293" s="5"/>
      <c r="L293" s="5">
        <v>120.6</v>
      </c>
      <c r="M293" s="2" t="s">
        <v>191</v>
      </c>
      <c r="N293" s="5">
        <v>42.11</v>
      </c>
      <c r="O293" s="5"/>
      <c r="P293" s="5">
        <f xml:space="preserve"> 2.0988*N293 - 50.11</f>
        <v>38.270468000000008</v>
      </c>
      <c r="Q293" s="2" t="s">
        <v>376</v>
      </c>
      <c r="R293" s="5">
        <f>P293*L293</f>
        <v>4615.418440800001</v>
      </c>
      <c r="S293" s="5">
        <f>(R293/J293)*100</f>
        <v>3.8407800487538433</v>
      </c>
      <c r="V293" s="5"/>
      <c r="W293" s="6" t="s">
        <v>3362</v>
      </c>
    </row>
    <row r="294" spans="1:24" x14ac:dyDescent="0.15">
      <c r="A294" s="2" t="s">
        <v>68</v>
      </c>
      <c r="B294" s="2" t="s">
        <v>3928</v>
      </c>
      <c r="C294" s="2" t="s">
        <v>3476</v>
      </c>
      <c r="D294" s="2" t="s">
        <v>689</v>
      </c>
      <c r="E294" s="1"/>
      <c r="F294" s="2" t="s">
        <v>69</v>
      </c>
      <c r="G294" s="2">
        <v>28</v>
      </c>
      <c r="H294" s="2" t="str">
        <f t="shared" si="9"/>
        <v>W</v>
      </c>
      <c r="I294" s="5">
        <v>90.9</v>
      </c>
      <c r="J294" s="34">
        <v>109187</v>
      </c>
      <c r="K294" s="5"/>
      <c r="L294" s="5">
        <v>109.6</v>
      </c>
      <c r="M294" s="4" t="s">
        <v>191</v>
      </c>
      <c r="N294" s="5">
        <v>42.53</v>
      </c>
      <c r="O294" s="5"/>
      <c r="P294" s="5">
        <v>39.4</v>
      </c>
      <c r="Q294" s="2" t="s">
        <v>18</v>
      </c>
      <c r="R294" s="5">
        <v>4318</v>
      </c>
      <c r="S294" s="5">
        <v>3.95</v>
      </c>
      <c r="V294" s="5"/>
      <c r="W294" s="6" t="s">
        <v>3131</v>
      </c>
    </row>
    <row r="295" spans="1:24" x14ac:dyDescent="0.15">
      <c r="A295" s="2" t="s">
        <v>68</v>
      </c>
      <c r="B295" s="2" t="s">
        <v>3928</v>
      </c>
      <c r="C295" s="2" t="s">
        <v>3476</v>
      </c>
      <c r="D295" s="2" t="s">
        <v>689</v>
      </c>
      <c r="E295" s="1"/>
      <c r="F295" s="2" t="s">
        <v>26</v>
      </c>
      <c r="G295" s="2">
        <v>-12.75</v>
      </c>
      <c r="H295" s="2" t="str">
        <f t="shared" si="9"/>
        <v>W</v>
      </c>
      <c r="I295" s="5">
        <v>92.9</v>
      </c>
      <c r="J295" s="34">
        <v>115839</v>
      </c>
      <c r="K295" s="5"/>
      <c r="L295" s="5">
        <v>130.5</v>
      </c>
      <c r="M295" s="4" t="s">
        <v>191</v>
      </c>
      <c r="N295" s="5">
        <v>41.45</v>
      </c>
      <c r="O295" s="5"/>
      <c r="P295" s="5">
        <v>36.9</v>
      </c>
      <c r="Q295" s="2" t="s">
        <v>18</v>
      </c>
      <c r="R295" s="5">
        <v>4815.5</v>
      </c>
      <c r="S295" s="5">
        <v>4.16</v>
      </c>
      <c r="V295" s="5"/>
      <c r="W295" s="6" t="s">
        <v>3131</v>
      </c>
    </row>
    <row r="296" spans="1:24" x14ac:dyDescent="0.15">
      <c r="A296" s="2" t="s">
        <v>68</v>
      </c>
      <c r="B296" s="2" t="s">
        <v>3928</v>
      </c>
      <c r="C296" s="2" t="s">
        <v>3476</v>
      </c>
      <c r="D296" s="2" t="s">
        <v>689</v>
      </c>
      <c r="E296" s="1"/>
      <c r="F296" s="2" t="s">
        <v>71</v>
      </c>
      <c r="G296" s="2">
        <v>37.4</v>
      </c>
      <c r="H296" s="2" t="str">
        <f t="shared" si="9"/>
        <v>W</v>
      </c>
      <c r="I296" s="5">
        <v>79.400000000000006</v>
      </c>
      <c r="J296" s="34">
        <v>75608</v>
      </c>
      <c r="K296" s="5"/>
      <c r="L296" s="5">
        <v>116.4</v>
      </c>
      <c r="M296" s="4" t="s">
        <v>191</v>
      </c>
      <c r="N296" s="5">
        <v>37.61</v>
      </c>
      <c r="O296" s="5"/>
      <c r="P296" s="5">
        <v>27.6</v>
      </c>
      <c r="Q296" s="2" t="s">
        <v>18</v>
      </c>
      <c r="R296" s="5">
        <v>3212.6</v>
      </c>
      <c r="S296" s="5">
        <v>4.25</v>
      </c>
      <c r="V296" s="5"/>
      <c r="W296" s="6" t="s">
        <v>3131</v>
      </c>
    </row>
    <row r="297" spans="1:24" x14ac:dyDescent="0.15">
      <c r="A297" s="2" t="s">
        <v>68</v>
      </c>
      <c r="B297" s="2" t="s">
        <v>3928</v>
      </c>
      <c r="C297" s="2" t="s">
        <v>3476</v>
      </c>
      <c r="D297" s="2" t="s">
        <v>689</v>
      </c>
      <c r="E297" s="1"/>
      <c r="F297" s="2" t="s">
        <v>70</v>
      </c>
      <c r="G297" s="2">
        <v>36.619999999999997</v>
      </c>
      <c r="H297" s="2" t="str">
        <f t="shared" si="9"/>
        <v>W</v>
      </c>
      <c r="I297" s="5">
        <v>71.599999999999994</v>
      </c>
      <c r="J297" s="34">
        <v>57089</v>
      </c>
      <c r="K297" s="5"/>
      <c r="L297" s="5">
        <v>80.7</v>
      </c>
      <c r="M297" s="4" t="s">
        <v>191</v>
      </c>
      <c r="N297" s="5"/>
      <c r="O297" s="5"/>
      <c r="P297" s="5"/>
      <c r="R297" s="5"/>
      <c r="S297" s="5"/>
      <c r="V297" s="5"/>
      <c r="W297" s="6" t="s">
        <v>3168</v>
      </c>
    </row>
    <row r="298" spans="1:24" x14ac:dyDescent="0.15">
      <c r="A298" s="2" t="s">
        <v>68</v>
      </c>
      <c r="B298" s="2" t="s">
        <v>3928</v>
      </c>
      <c r="C298" s="2" t="s">
        <v>3476</v>
      </c>
      <c r="D298" s="2" t="s">
        <v>689</v>
      </c>
      <c r="E298" s="1"/>
      <c r="F298" s="2" t="s">
        <v>70</v>
      </c>
      <c r="G298" s="2">
        <v>36.61</v>
      </c>
      <c r="H298" s="2" t="str">
        <f t="shared" si="9"/>
        <v>W</v>
      </c>
      <c r="I298" s="5">
        <v>70.5</v>
      </c>
      <c r="J298" s="34">
        <v>54737</v>
      </c>
      <c r="K298" s="5"/>
      <c r="L298" s="5">
        <v>78.5</v>
      </c>
      <c r="M298" s="4" t="s">
        <v>191</v>
      </c>
      <c r="N298" s="5"/>
      <c r="O298" s="5"/>
      <c r="P298" s="5"/>
      <c r="R298" s="5"/>
      <c r="S298" s="5"/>
      <c r="V298" s="5"/>
      <c r="W298" s="6" t="s">
        <v>3168</v>
      </c>
    </row>
    <row r="299" spans="1:24" x14ac:dyDescent="0.15">
      <c r="A299" s="4" t="s">
        <v>68</v>
      </c>
      <c r="B299" s="2" t="s">
        <v>3928</v>
      </c>
      <c r="C299" s="4" t="s">
        <v>3476</v>
      </c>
      <c r="D299" s="4" t="s">
        <v>689</v>
      </c>
      <c r="E299" s="1"/>
      <c r="F299" s="4" t="s">
        <v>70</v>
      </c>
      <c r="G299" s="4">
        <v>36.78</v>
      </c>
      <c r="H299" s="2" t="str">
        <f t="shared" si="9"/>
        <v>W</v>
      </c>
      <c r="I299" s="5">
        <v>72</v>
      </c>
      <c r="J299" s="34">
        <f>(0.00052088*I299^2.717)*1000</f>
        <v>57957.557552060418</v>
      </c>
      <c r="K299" s="33"/>
      <c r="L299" s="33">
        <v>77.75</v>
      </c>
      <c r="M299" s="4" t="s">
        <v>191</v>
      </c>
      <c r="N299" s="33"/>
      <c r="O299" s="33"/>
      <c r="P299" s="33"/>
      <c r="Q299" s="4"/>
      <c r="R299" s="33"/>
      <c r="S299" s="33"/>
      <c r="T299" s="4">
        <v>1.35</v>
      </c>
      <c r="U299" s="2" t="str">
        <f>IF(T299&lt;=1, "1",IF(AND(T299&gt;1,T299&lt;4), "2-3", "+4"))</f>
        <v>2-3</v>
      </c>
      <c r="V299" s="33"/>
      <c r="W299" s="10" t="s">
        <v>1893</v>
      </c>
    </row>
    <row r="300" spans="1:24" x14ac:dyDescent="0.15">
      <c r="A300" s="13" t="s">
        <v>68</v>
      </c>
      <c r="B300" s="13" t="s">
        <v>3928</v>
      </c>
      <c r="C300" s="13" t="s">
        <v>3476</v>
      </c>
      <c r="D300" s="13" t="s">
        <v>689</v>
      </c>
      <c r="E300" s="14"/>
      <c r="F300" s="13" t="s">
        <v>3121</v>
      </c>
      <c r="G300" s="13" t="s">
        <v>3121</v>
      </c>
      <c r="H300" s="13" t="str">
        <f t="shared" si="9"/>
        <v>W</v>
      </c>
      <c r="I300" s="36">
        <v>88.54</v>
      </c>
      <c r="J300" s="37">
        <v>101656</v>
      </c>
      <c r="K300" s="36"/>
      <c r="L300" s="36">
        <v>112.4</v>
      </c>
      <c r="M300" s="15" t="s">
        <v>191</v>
      </c>
      <c r="N300" s="36">
        <v>40.98</v>
      </c>
      <c r="O300" s="36"/>
      <c r="P300" s="36">
        <v>32.69</v>
      </c>
      <c r="Q300" s="13" t="s">
        <v>18</v>
      </c>
      <c r="R300" s="36">
        <v>3674.5</v>
      </c>
      <c r="S300" s="36">
        <v>3.61</v>
      </c>
      <c r="T300" s="13">
        <v>3.49</v>
      </c>
      <c r="U300" s="2" t="str">
        <f>IF(T300&lt;=1, "1",IF(AND(T300&gt;1,T300&lt;4), "2-3", "+4"))</f>
        <v>2-3</v>
      </c>
      <c r="V300" s="36">
        <f>S300*T300</f>
        <v>12.5989</v>
      </c>
      <c r="W300" s="16" t="s">
        <v>3132</v>
      </c>
      <c r="X300" s="13"/>
    </row>
    <row r="301" spans="1:24" x14ac:dyDescent="0.15">
      <c r="A301" s="2" t="s">
        <v>68</v>
      </c>
      <c r="B301" s="2" t="s">
        <v>3929</v>
      </c>
      <c r="C301" s="2" t="s">
        <v>916</v>
      </c>
      <c r="D301" s="2" t="s">
        <v>690</v>
      </c>
      <c r="E301" s="1"/>
      <c r="F301" s="2" t="s">
        <v>3371</v>
      </c>
      <c r="G301" s="2">
        <v>18.3</v>
      </c>
      <c r="H301" s="2" t="str">
        <f t="shared" si="9"/>
        <v>W</v>
      </c>
      <c r="I301" s="5"/>
      <c r="J301" s="5"/>
      <c r="K301" s="5"/>
      <c r="L301" s="5"/>
      <c r="M301" s="2" t="s">
        <v>191</v>
      </c>
      <c r="N301" s="5"/>
      <c r="O301" s="5"/>
      <c r="P301" s="5"/>
      <c r="R301" s="5"/>
      <c r="S301" s="5"/>
      <c r="T301" s="2">
        <v>3.1</v>
      </c>
      <c r="U301" s="2" t="str">
        <f>IF(T301&lt;=1, "1",IF(AND(T301&gt;1,T301&lt;4), "2-3", "+4"))</f>
        <v>2-3</v>
      </c>
      <c r="V301" s="5"/>
      <c r="W301" s="6" t="s">
        <v>3385</v>
      </c>
    </row>
    <row r="302" spans="1:24" x14ac:dyDescent="0.15">
      <c r="A302" s="2" t="s">
        <v>68</v>
      </c>
      <c r="B302" s="2" t="s">
        <v>3929</v>
      </c>
      <c r="C302" s="2" t="s">
        <v>916</v>
      </c>
      <c r="D302" s="2" t="s">
        <v>690</v>
      </c>
      <c r="E302" s="1"/>
      <c r="F302" s="2" t="s">
        <v>3149</v>
      </c>
      <c r="G302" s="2" t="s">
        <v>122</v>
      </c>
      <c r="H302" s="2" t="str">
        <f t="shared" si="9"/>
        <v>W</v>
      </c>
      <c r="I302" s="5"/>
      <c r="J302" s="5"/>
      <c r="K302" s="5">
        <v>31.4</v>
      </c>
      <c r="L302" s="5"/>
      <c r="M302" s="4" t="s">
        <v>191</v>
      </c>
      <c r="N302" s="5"/>
      <c r="O302" s="5"/>
      <c r="P302" s="5"/>
      <c r="R302" s="5"/>
      <c r="S302" s="5"/>
      <c r="V302" s="5"/>
      <c r="W302" s="6" t="s">
        <v>3153</v>
      </c>
    </row>
    <row r="303" spans="1:24" x14ac:dyDescent="0.15">
      <c r="A303" s="4" t="s">
        <v>68</v>
      </c>
      <c r="B303" s="2" t="s">
        <v>3929</v>
      </c>
      <c r="C303" s="4" t="s">
        <v>916</v>
      </c>
      <c r="D303" s="4" t="s">
        <v>690</v>
      </c>
      <c r="E303" s="1"/>
      <c r="F303" s="4" t="s">
        <v>26</v>
      </c>
      <c r="G303" s="4">
        <v>-3.85</v>
      </c>
      <c r="H303" s="2" t="str">
        <f t="shared" si="9"/>
        <v>W</v>
      </c>
      <c r="I303" s="33">
        <v>112.9</v>
      </c>
      <c r="J303" s="33">
        <f>0.8649*I303^2.583</f>
        <v>173410.08419624483</v>
      </c>
      <c r="K303" s="33"/>
      <c r="L303" s="33">
        <v>121.5</v>
      </c>
      <c r="M303" s="4" t="s">
        <v>191</v>
      </c>
      <c r="N303" s="33"/>
      <c r="O303" s="33"/>
      <c r="P303" s="5"/>
      <c r="R303" s="5"/>
      <c r="S303" s="5"/>
      <c r="T303" s="2">
        <v>4.3</v>
      </c>
      <c r="U303" s="2" t="str">
        <f>IF(T303&lt;=1, "1",IF(AND(T303&gt;1,T303&lt;4), "2-3", "+4"))</f>
        <v>+4</v>
      </c>
      <c r="V303" s="5"/>
      <c r="W303" s="10" t="s">
        <v>1774</v>
      </c>
    </row>
    <row r="304" spans="1:24" x14ac:dyDescent="0.15">
      <c r="A304" s="2" t="s">
        <v>68</v>
      </c>
      <c r="B304" s="2" t="s">
        <v>3929</v>
      </c>
      <c r="C304" s="2" t="s">
        <v>916</v>
      </c>
      <c r="D304" s="2" t="s">
        <v>690</v>
      </c>
      <c r="E304" s="1"/>
      <c r="F304" s="2" t="s">
        <v>73</v>
      </c>
      <c r="G304" s="2">
        <v>10.54</v>
      </c>
      <c r="H304" s="2" t="str">
        <f t="shared" si="9"/>
        <v>W</v>
      </c>
      <c r="I304" s="5">
        <v>100.2</v>
      </c>
      <c r="J304" s="5">
        <v>128000</v>
      </c>
      <c r="K304" s="5"/>
      <c r="L304" s="5">
        <v>113.1</v>
      </c>
      <c r="M304" s="4" t="s">
        <v>191</v>
      </c>
      <c r="N304" s="5"/>
      <c r="O304" s="5">
        <v>44.4</v>
      </c>
      <c r="P304" s="5">
        <v>48</v>
      </c>
      <c r="Q304" s="2" t="s">
        <v>376</v>
      </c>
      <c r="R304" s="5">
        <v>5428.8</v>
      </c>
      <c r="S304" s="5">
        <v>4.24</v>
      </c>
      <c r="V304" s="5"/>
      <c r="W304" s="6" t="s">
        <v>1772</v>
      </c>
    </row>
    <row r="305" spans="1:23" x14ac:dyDescent="0.15">
      <c r="A305" s="2" t="s">
        <v>68</v>
      </c>
      <c r="B305" s="2" t="s">
        <v>3929</v>
      </c>
      <c r="C305" s="2" t="s">
        <v>916</v>
      </c>
      <c r="D305" s="2" t="s">
        <v>690</v>
      </c>
      <c r="E305" s="1"/>
      <c r="F305" s="2" t="s">
        <v>73</v>
      </c>
      <c r="G305" s="2">
        <v>10.54</v>
      </c>
      <c r="H305" s="2" t="str">
        <f t="shared" si="9"/>
        <v>W</v>
      </c>
      <c r="I305" s="5">
        <v>100.1</v>
      </c>
      <c r="J305" s="5">
        <v>133071</v>
      </c>
      <c r="K305" s="5"/>
      <c r="L305" s="5"/>
      <c r="M305" s="4" t="s">
        <v>191</v>
      </c>
      <c r="N305" s="5"/>
      <c r="O305" s="5"/>
      <c r="P305" s="5"/>
      <c r="R305" s="5"/>
      <c r="S305" s="5"/>
      <c r="T305" s="2" t="s">
        <v>634</v>
      </c>
      <c r="U305" s="40" t="s">
        <v>4047</v>
      </c>
      <c r="V305" s="5"/>
      <c r="W305" s="6" t="s">
        <v>3169</v>
      </c>
    </row>
    <row r="306" spans="1:23" x14ac:dyDescent="0.15">
      <c r="A306" s="2" t="s">
        <v>68</v>
      </c>
      <c r="B306" s="2" t="s">
        <v>3929</v>
      </c>
      <c r="C306" s="2" t="s">
        <v>916</v>
      </c>
      <c r="D306" s="2" t="s">
        <v>690</v>
      </c>
      <c r="E306" s="1"/>
      <c r="F306" s="2" t="s">
        <v>73</v>
      </c>
      <c r="G306" s="2">
        <v>10.54</v>
      </c>
      <c r="H306" s="2" t="str">
        <f t="shared" si="9"/>
        <v>W</v>
      </c>
      <c r="I306" s="5"/>
      <c r="J306" s="5"/>
      <c r="K306" s="5"/>
      <c r="L306" s="5"/>
      <c r="M306" s="4" t="s">
        <v>191</v>
      </c>
      <c r="N306" s="5"/>
      <c r="O306" s="5"/>
      <c r="P306" s="5"/>
      <c r="R306" s="5"/>
      <c r="S306" s="5"/>
      <c r="T306" s="2">
        <v>2.8</v>
      </c>
      <c r="U306" s="2" t="str">
        <f>IF(T306&lt;=1, "1",IF(AND(T306&gt;1,T306&lt;4), "2-3", "+4"))</f>
        <v>2-3</v>
      </c>
      <c r="V306" s="5"/>
      <c r="W306" s="6" t="s">
        <v>1771</v>
      </c>
    </row>
    <row r="307" spans="1:23" x14ac:dyDescent="0.15">
      <c r="A307" s="2" t="s">
        <v>68</v>
      </c>
      <c r="B307" s="2" t="s">
        <v>3929</v>
      </c>
      <c r="C307" s="2" t="s">
        <v>916</v>
      </c>
      <c r="D307" s="2" t="s">
        <v>690</v>
      </c>
      <c r="E307" s="1"/>
      <c r="F307" s="2" t="s">
        <v>216</v>
      </c>
      <c r="G307" s="2">
        <v>23.38</v>
      </c>
      <c r="H307" s="2" t="str">
        <f t="shared" si="9"/>
        <v>W</v>
      </c>
      <c r="I307" s="5">
        <v>96.6</v>
      </c>
      <c r="J307" s="5">
        <v>114916</v>
      </c>
      <c r="K307" s="5"/>
      <c r="L307" s="5">
        <v>113</v>
      </c>
      <c r="M307" s="4" t="s">
        <v>191</v>
      </c>
      <c r="N307" s="5">
        <v>46.9</v>
      </c>
      <c r="O307" s="5"/>
      <c r="P307" s="5">
        <v>53.2</v>
      </c>
      <c r="Q307" s="2" t="s">
        <v>18</v>
      </c>
      <c r="R307" s="5">
        <v>6011.6</v>
      </c>
      <c r="S307" s="5">
        <v>5.23</v>
      </c>
      <c r="T307" s="2">
        <v>4.5</v>
      </c>
      <c r="U307" s="2" t="str">
        <f>IF(T307&lt;=1, "1",IF(AND(T307&gt;1,T307&lt;4), "2-3", "+4"))</f>
        <v>+4</v>
      </c>
      <c r="V307" s="5">
        <f>S307*T307</f>
        <v>23.535000000000004</v>
      </c>
      <c r="W307" s="6" t="s">
        <v>3170</v>
      </c>
    </row>
    <row r="308" spans="1:23" x14ac:dyDescent="0.15">
      <c r="A308" s="2" t="s">
        <v>68</v>
      </c>
      <c r="B308" s="2" t="s">
        <v>3929</v>
      </c>
      <c r="C308" s="2" t="s">
        <v>916</v>
      </c>
      <c r="D308" s="2" t="s">
        <v>690</v>
      </c>
      <c r="E308" s="1"/>
      <c r="F308" s="2" t="s">
        <v>69</v>
      </c>
      <c r="G308" s="2">
        <v>28.5</v>
      </c>
      <c r="H308" s="2" t="str">
        <f t="shared" si="9"/>
        <v>W</v>
      </c>
      <c r="I308" s="5">
        <v>98</v>
      </c>
      <c r="J308" s="5">
        <v>131300</v>
      </c>
      <c r="K308" s="5"/>
      <c r="L308" s="5">
        <v>141</v>
      </c>
      <c r="M308" s="4" t="s">
        <v>191</v>
      </c>
      <c r="N308" s="5">
        <v>46.61</v>
      </c>
      <c r="O308" s="5"/>
      <c r="P308" s="5">
        <v>55.08</v>
      </c>
      <c r="Q308" s="2" t="s">
        <v>18</v>
      </c>
      <c r="R308" s="5">
        <v>7766.3</v>
      </c>
      <c r="S308" s="5">
        <v>5.91</v>
      </c>
      <c r="V308" s="5"/>
      <c r="W308" s="6" t="s">
        <v>3129</v>
      </c>
    </row>
    <row r="309" spans="1:23" x14ac:dyDescent="0.15">
      <c r="A309" s="4" t="s">
        <v>68</v>
      </c>
      <c r="B309" s="2" t="s">
        <v>3929</v>
      </c>
      <c r="C309" s="4" t="s">
        <v>916</v>
      </c>
      <c r="D309" s="4" t="s">
        <v>690</v>
      </c>
      <c r="E309" s="1"/>
      <c r="F309" s="4" t="s">
        <v>69</v>
      </c>
      <c r="G309" s="4">
        <v>28.83</v>
      </c>
      <c r="H309" s="2" t="str">
        <f t="shared" si="9"/>
        <v>W</v>
      </c>
      <c r="I309" s="5">
        <v>99</v>
      </c>
      <c r="J309" s="5">
        <f xml:space="preserve"> (0.0076736*I309^2.109)*1000</f>
        <v>124106.28696002711</v>
      </c>
      <c r="K309" s="33">
        <v>25</v>
      </c>
      <c r="L309" s="33"/>
      <c r="M309" s="4" t="s">
        <v>191</v>
      </c>
      <c r="N309" s="33"/>
      <c r="O309" s="33"/>
      <c r="P309" s="5"/>
      <c r="R309" s="5"/>
      <c r="S309" s="5"/>
      <c r="V309" s="5"/>
      <c r="W309" s="10" t="s">
        <v>1773</v>
      </c>
    </row>
    <row r="310" spans="1:23" x14ac:dyDescent="0.15">
      <c r="A310" s="2" t="s">
        <v>68</v>
      </c>
      <c r="B310" s="2" t="s">
        <v>3929</v>
      </c>
      <c r="C310" s="2" t="s">
        <v>916</v>
      </c>
      <c r="D310" s="2" t="s">
        <v>690</v>
      </c>
      <c r="E310" s="1"/>
      <c r="F310" s="2" t="s">
        <v>217</v>
      </c>
      <c r="G310" s="2">
        <v>27.09</v>
      </c>
      <c r="H310" s="2" t="str">
        <f t="shared" si="9"/>
        <v>W</v>
      </c>
      <c r="I310" s="5"/>
      <c r="J310" s="5"/>
      <c r="K310" s="5"/>
      <c r="L310" s="5">
        <v>103.8</v>
      </c>
      <c r="M310" s="4" t="s">
        <v>191</v>
      </c>
      <c r="N310" s="5">
        <v>46</v>
      </c>
      <c r="O310" s="5">
        <v>46</v>
      </c>
      <c r="P310" s="5">
        <f xml:space="preserve"> 3.0527*N310 - 88.974</f>
        <v>51.450200000000009</v>
      </c>
      <c r="Q310" s="2" t="s">
        <v>376</v>
      </c>
      <c r="R310" s="5">
        <f>P310*L310</f>
        <v>5340.5307600000006</v>
      </c>
      <c r="S310" s="5"/>
      <c r="T310" s="2" t="s">
        <v>893</v>
      </c>
      <c r="U310" s="40" t="s">
        <v>4047</v>
      </c>
      <c r="V310" s="5"/>
      <c r="W310" s="6" t="s">
        <v>2448</v>
      </c>
    </row>
    <row r="311" spans="1:23" x14ac:dyDescent="0.15">
      <c r="A311" s="2" t="s">
        <v>68</v>
      </c>
      <c r="B311" s="2" t="s">
        <v>3929</v>
      </c>
      <c r="C311" s="2" t="s">
        <v>916</v>
      </c>
      <c r="D311" s="2" t="s">
        <v>690</v>
      </c>
      <c r="E311" s="1"/>
      <c r="F311" s="2" t="s">
        <v>3116</v>
      </c>
      <c r="G311" s="2">
        <v>13.15</v>
      </c>
      <c r="H311" s="2" t="str">
        <f t="shared" si="9"/>
        <v>W</v>
      </c>
      <c r="I311" s="5">
        <v>69.53</v>
      </c>
      <c r="J311" s="5">
        <v>43019</v>
      </c>
      <c r="K311" s="5"/>
      <c r="L311" s="5">
        <v>106</v>
      </c>
      <c r="M311" s="4" t="s">
        <v>191</v>
      </c>
      <c r="N311" s="5">
        <v>42.4</v>
      </c>
      <c r="O311" s="5"/>
      <c r="P311" s="5">
        <v>40.4</v>
      </c>
      <c r="Q311" s="2" t="s">
        <v>18</v>
      </c>
      <c r="R311" s="5">
        <v>1712.96</v>
      </c>
      <c r="S311" s="5">
        <v>3.98</v>
      </c>
      <c r="T311" s="2" t="s">
        <v>2269</v>
      </c>
      <c r="U311" s="40" t="s">
        <v>395</v>
      </c>
      <c r="V311" s="5"/>
      <c r="W311" s="6" t="s">
        <v>3171</v>
      </c>
    </row>
    <row r="312" spans="1:23" x14ac:dyDescent="0.15">
      <c r="A312" s="2" t="s">
        <v>68</v>
      </c>
      <c r="B312" s="2" t="s">
        <v>3929</v>
      </c>
      <c r="C312" s="2" t="s">
        <v>916</v>
      </c>
      <c r="D312" s="2" t="s">
        <v>690</v>
      </c>
      <c r="E312" s="1"/>
      <c r="F312" s="2" t="s">
        <v>69</v>
      </c>
      <c r="G312" s="2">
        <v>27.87</v>
      </c>
      <c r="H312" s="2" t="str">
        <f t="shared" si="9"/>
        <v>W</v>
      </c>
      <c r="I312" s="5">
        <v>102.5</v>
      </c>
      <c r="J312" s="5">
        <f xml:space="preserve"> (0.0076736*I312^2.109)*1000</f>
        <v>133541.35826910535</v>
      </c>
      <c r="K312" s="5"/>
      <c r="L312" s="5">
        <v>133</v>
      </c>
      <c r="M312" s="4" t="s">
        <v>191</v>
      </c>
      <c r="N312" s="5"/>
      <c r="O312" s="5"/>
      <c r="P312" s="5"/>
      <c r="R312" s="5"/>
      <c r="S312" s="5"/>
      <c r="V312" s="5"/>
      <c r="W312" s="6" t="s">
        <v>3172</v>
      </c>
    </row>
    <row r="313" spans="1:23" x14ac:dyDescent="0.15">
      <c r="A313" s="2" t="s">
        <v>68</v>
      </c>
      <c r="B313" s="2" t="s">
        <v>3929</v>
      </c>
      <c r="C313" s="2" t="s">
        <v>916</v>
      </c>
      <c r="D313" s="2" t="s">
        <v>690</v>
      </c>
      <c r="E313" s="1"/>
      <c r="F313" s="2" t="s">
        <v>69</v>
      </c>
      <c r="G313" s="2">
        <v>27.87</v>
      </c>
      <c r="H313" s="2" t="str">
        <f t="shared" si="9"/>
        <v>W</v>
      </c>
      <c r="I313" s="5"/>
      <c r="J313" s="5"/>
      <c r="K313" s="5"/>
      <c r="L313" s="5"/>
      <c r="M313" s="4" t="s">
        <v>191</v>
      </c>
      <c r="N313" s="5"/>
      <c r="O313" s="5"/>
      <c r="P313" s="5"/>
      <c r="R313" s="5"/>
      <c r="S313" s="5"/>
      <c r="T313" s="2">
        <f>MEDIAN(2.4,3)</f>
        <v>2.7</v>
      </c>
      <c r="U313" s="2" t="str">
        <f>IF(T313&lt;=1, "1",IF(AND(T313&gt;1,T313&lt;4), "2-3", "+4"))</f>
        <v>2-3</v>
      </c>
      <c r="V313" s="5"/>
      <c r="W313" s="6" t="s">
        <v>3173</v>
      </c>
    </row>
    <row r="314" spans="1:23" x14ac:dyDescent="0.15">
      <c r="A314" s="2" t="s">
        <v>68</v>
      </c>
      <c r="B314" s="2" t="s">
        <v>3929</v>
      </c>
      <c r="C314" s="2" t="s">
        <v>916</v>
      </c>
      <c r="D314" s="2" t="s">
        <v>690</v>
      </c>
      <c r="E314" s="1"/>
      <c r="F314" s="2" t="s">
        <v>59</v>
      </c>
      <c r="G314" s="2">
        <v>-23.44</v>
      </c>
      <c r="H314" s="2" t="str">
        <f t="shared" si="9"/>
        <v>W</v>
      </c>
      <c r="I314" s="5">
        <f>(107.03-0.64)/1.06</f>
        <v>100.36792452830188</v>
      </c>
      <c r="J314" s="5">
        <f xml:space="preserve"> (0.0088105*I314^2.084)*1000</f>
        <v>130714.69624966181</v>
      </c>
      <c r="K314" s="5"/>
      <c r="L314" s="5">
        <v>115.24</v>
      </c>
      <c r="M314" s="2" t="s">
        <v>191</v>
      </c>
      <c r="N314" s="5">
        <v>44.07</v>
      </c>
      <c r="O314" s="5">
        <v>44.07</v>
      </c>
      <c r="P314" s="5">
        <v>46.93</v>
      </c>
      <c r="Q314" s="2" t="s">
        <v>18</v>
      </c>
      <c r="R314" s="5">
        <v>5408.2</v>
      </c>
      <c r="S314" s="5">
        <f>(R314/J314)*100</f>
        <v>4.1374077706384851</v>
      </c>
      <c r="V314" s="5"/>
      <c r="W314" s="6" t="s">
        <v>3337</v>
      </c>
    </row>
    <row r="315" spans="1:23" x14ac:dyDescent="0.15">
      <c r="A315" s="2" t="s">
        <v>68</v>
      </c>
      <c r="B315" s="2" t="s">
        <v>3929</v>
      </c>
      <c r="C315" s="2" t="s">
        <v>916</v>
      </c>
      <c r="D315" s="2" t="s">
        <v>690</v>
      </c>
      <c r="E315" s="1"/>
      <c r="F315" s="2" t="s">
        <v>908</v>
      </c>
      <c r="G315" s="2">
        <v>31.07</v>
      </c>
      <c r="H315" s="2" t="str">
        <f t="shared" si="9"/>
        <v>W</v>
      </c>
      <c r="I315" s="5">
        <v>96.5</v>
      </c>
      <c r="J315" s="5">
        <f xml:space="preserve"> (0.0076736*I315^2.109)*1000</f>
        <v>117589.1526722102</v>
      </c>
      <c r="K315" s="5"/>
      <c r="L315" s="5">
        <v>115</v>
      </c>
      <c r="M315" s="2" t="s">
        <v>191</v>
      </c>
      <c r="N315" s="5"/>
      <c r="O315" s="5"/>
      <c r="P315" s="5"/>
      <c r="R315" s="5"/>
      <c r="S315" s="5"/>
      <c r="V315" s="5"/>
      <c r="W315" s="6" t="s">
        <v>3386</v>
      </c>
    </row>
    <row r="316" spans="1:23" x14ac:dyDescent="0.15">
      <c r="A316" s="2" t="s">
        <v>68</v>
      </c>
      <c r="B316" s="2" t="s">
        <v>3929</v>
      </c>
      <c r="C316" s="2" t="s">
        <v>916</v>
      </c>
      <c r="D316" s="2" t="s">
        <v>690</v>
      </c>
      <c r="E316" s="1"/>
      <c r="F316" s="2" t="s">
        <v>3115</v>
      </c>
      <c r="G316" s="2">
        <v>-7.95</v>
      </c>
      <c r="H316" s="2" t="str">
        <f t="shared" si="9"/>
        <v>W</v>
      </c>
      <c r="I316" s="5"/>
      <c r="J316" s="5"/>
      <c r="K316" s="5"/>
      <c r="L316" s="5">
        <v>120.9</v>
      </c>
      <c r="M316" s="4" t="s">
        <v>191</v>
      </c>
      <c r="N316" s="5"/>
      <c r="O316" s="5"/>
      <c r="P316" s="5"/>
      <c r="R316" s="5"/>
      <c r="S316" s="5"/>
      <c r="T316" s="2" t="s">
        <v>524</v>
      </c>
      <c r="U316" s="40" t="s">
        <v>395</v>
      </c>
      <c r="V316" s="5"/>
      <c r="W316" s="6" t="s">
        <v>3174</v>
      </c>
    </row>
    <row r="317" spans="1:23" x14ac:dyDescent="0.15">
      <c r="A317" s="2" t="s">
        <v>68</v>
      </c>
      <c r="B317" s="2" t="s">
        <v>3929</v>
      </c>
      <c r="C317" s="2" t="s">
        <v>916</v>
      </c>
      <c r="D317" s="2" t="s">
        <v>690</v>
      </c>
      <c r="E317" s="1"/>
      <c r="F317" s="2" t="s">
        <v>217</v>
      </c>
      <c r="G317" s="2">
        <v>24.4</v>
      </c>
      <c r="H317" s="2" t="str">
        <f t="shared" si="9"/>
        <v>W</v>
      </c>
      <c r="I317" s="5">
        <v>97.9</v>
      </c>
      <c r="J317" s="5">
        <f xml:space="preserve"> 4.37938*97.9^2.247</f>
        <v>130227.0909162201</v>
      </c>
      <c r="K317" s="5"/>
      <c r="L317" s="5">
        <v>104.1</v>
      </c>
      <c r="M317" s="4" t="s">
        <v>191</v>
      </c>
      <c r="N317" s="5"/>
      <c r="O317" s="5"/>
      <c r="P317" s="5"/>
      <c r="R317" s="5"/>
      <c r="S317" s="5"/>
      <c r="T317" s="2">
        <v>3.6</v>
      </c>
      <c r="U317" s="2" t="str">
        <f>IF(T317&lt;=1, "1",IF(AND(T317&gt;1,T317&lt;4), "2-3", "+4"))</f>
        <v>2-3</v>
      </c>
      <c r="V317" s="5"/>
      <c r="W317" s="6" t="s">
        <v>3235</v>
      </c>
    </row>
    <row r="318" spans="1:23" x14ac:dyDescent="0.15">
      <c r="A318" s="2" t="s">
        <v>68</v>
      </c>
      <c r="B318" s="2" t="s">
        <v>3929</v>
      </c>
      <c r="C318" s="2" t="s">
        <v>916</v>
      </c>
      <c r="D318" s="2" t="s">
        <v>690</v>
      </c>
      <c r="E318" s="1"/>
      <c r="F318" s="2" t="s">
        <v>3120</v>
      </c>
      <c r="G318" s="2" t="s">
        <v>374</v>
      </c>
      <c r="H318" s="2" t="str">
        <f t="shared" ref="H318:H349" si="10">IF(G318="captive","C","W")</f>
        <v>C</v>
      </c>
      <c r="I318" s="5"/>
      <c r="J318" s="5"/>
      <c r="K318" s="7">
        <f>MEDIAN(8,10)</f>
        <v>9</v>
      </c>
      <c r="L318" s="5">
        <v>124.1</v>
      </c>
      <c r="M318" s="2" t="s">
        <v>191</v>
      </c>
      <c r="N318" s="5"/>
      <c r="O318" s="5"/>
      <c r="P318" s="5"/>
      <c r="R318" s="5"/>
      <c r="S318" s="5"/>
      <c r="T318" s="2">
        <v>3.56</v>
      </c>
      <c r="U318" s="2" t="str">
        <f>IF(T318&lt;=1, "1",IF(AND(T318&gt;1,T318&lt;4), "2-3", "+4"))</f>
        <v>2-3</v>
      </c>
      <c r="V318" s="5"/>
      <c r="W318" s="6" t="s">
        <v>3388</v>
      </c>
    </row>
    <row r="319" spans="1:23" x14ac:dyDescent="0.15">
      <c r="A319" s="2" t="s">
        <v>68</v>
      </c>
      <c r="B319" s="2" t="s">
        <v>3929</v>
      </c>
      <c r="C319" s="2" t="s">
        <v>916</v>
      </c>
      <c r="D319" s="2" t="s">
        <v>690</v>
      </c>
      <c r="E319" s="1"/>
      <c r="F319" s="2" t="s">
        <v>3372</v>
      </c>
      <c r="G319" s="2">
        <v>24.33</v>
      </c>
      <c r="H319" s="2" t="str">
        <f t="shared" si="10"/>
        <v>W</v>
      </c>
      <c r="I319" s="5">
        <v>97.2</v>
      </c>
      <c r="J319" s="5">
        <v>124700</v>
      </c>
      <c r="K319" s="5"/>
      <c r="L319" s="5">
        <v>99.7</v>
      </c>
      <c r="M319" s="2" t="s">
        <v>191</v>
      </c>
      <c r="N319" s="5">
        <v>51.3</v>
      </c>
      <c r="O319" s="5"/>
      <c r="P319" s="5">
        <v>44.5</v>
      </c>
      <c r="Q319" s="2" t="s">
        <v>18</v>
      </c>
      <c r="R319" s="5">
        <v>4436.7</v>
      </c>
      <c r="S319" s="5">
        <v>3.56</v>
      </c>
      <c r="T319" s="2">
        <v>1.9</v>
      </c>
      <c r="U319" s="2" t="str">
        <f>IF(T319&lt;=1, "1",IF(AND(T319&gt;1,T319&lt;4), "2-3", "+4"))</f>
        <v>2-3</v>
      </c>
      <c r="V319" s="5">
        <f>S319*T319</f>
        <v>6.7639999999999993</v>
      </c>
      <c r="W319" s="6" t="s">
        <v>3387</v>
      </c>
    </row>
    <row r="320" spans="1:23" x14ac:dyDescent="0.15">
      <c r="A320" s="4" t="s">
        <v>68</v>
      </c>
      <c r="B320" s="2" t="s">
        <v>3929</v>
      </c>
      <c r="C320" s="4" t="s">
        <v>916</v>
      </c>
      <c r="D320" s="4" t="s">
        <v>690</v>
      </c>
      <c r="E320" s="1"/>
      <c r="F320" s="4" t="s">
        <v>58</v>
      </c>
      <c r="G320" s="4">
        <v>15.67</v>
      </c>
      <c r="H320" s="2" t="str">
        <f t="shared" si="10"/>
        <v>W</v>
      </c>
      <c r="I320" s="5">
        <v>112.2</v>
      </c>
      <c r="J320" s="5">
        <f>0.8649*I320^2.583</f>
        <v>170646.5240900082</v>
      </c>
      <c r="K320" s="33"/>
      <c r="L320" s="33">
        <v>124</v>
      </c>
      <c r="M320" s="4" t="s">
        <v>191</v>
      </c>
      <c r="N320" s="33"/>
      <c r="O320" s="33"/>
      <c r="P320" s="5"/>
      <c r="R320" s="5"/>
      <c r="S320" s="5"/>
      <c r="T320" s="2">
        <v>2</v>
      </c>
      <c r="U320" s="2" t="str">
        <f>IF(T320&lt;=1, "1",IF(AND(T320&gt;1,T320&lt;4), "2-3", "+4"))</f>
        <v>2-3</v>
      </c>
      <c r="V320" s="5"/>
      <c r="W320" s="10" t="s">
        <v>1894</v>
      </c>
    </row>
    <row r="321" spans="1:24" x14ac:dyDescent="0.15">
      <c r="A321" s="2" t="s">
        <v>68</v>
      </c>
      <c r="B321" s="2" t="s">
        <v>3929</v>
      </c>
      <c r="C321" s="2" t="s">
        <v>916</v>
      </c>
      <c r="D321" s="2" t="s">
        <v>690</v>
      </c>
      <c r="E321" s="1"/>
      <c r="F321" s="2" t="s">
        <v>3377</v>
      </c>
      <c r="G321" s="2">
        <v>5.8</v>
      </c>
      <c r="H321" s="2" t="str">
        <f t="shared" si="10"/>
        <v>W</v>
      </c>
      <c r="I321" s="5">
        <v>109</v>
      </c>
      <c r="J321" s="5">
        <v>182000</v>
      </c>
      <c r="K321" s="5"/>
      <c r="L321" s="5">
        <v>138</v>
      </c>
      <c r="M321" s="2" t="s">
        <v>191</v>
      </c>
      <c r="N321" s="5">
        <v>45</v>
      </c>
      <c r="O321" s="5">
        <v>45</v>
      </c>
      <c r="P321" s="5">
        <v>48.4</v>
      </c>
      <c r="Q321" s="2" t="s">
        <v>18</v>
      </c>
      <c r="R321" s="5">
        <v>6679.2</v>
      </c>
      <c r="S321" s="5">
        <v>3.67</v>
      </c>
      <c r="T321" s="2">
        <v>3.6</v>
      </c>
      <c r="U321" s="2" t="str">
        <f>IF(T321&lt;=1, "1",IF(AND(T321&gt;1,T321&lt;4), "2-3", "+4"))</f>
        <v>2-3</v>
      </c>
      <c r="V321" s="5">
        <f>S321*T321</f>
        <v>13.212</v>
      </c>
      <c r="W321" s="6" t="s">
        <v>3453</v>
      </c>
    </row>
    <row r="322" spans="1:24" x14ac:dyDescent="0.15">
      <c r="A322" s="2" t="s">
        <v>68</v>
      </c>
      <c r="B322" s="2" t="s">
        <v>3929</v>
      </c>
      <c r="C322" s="2" t="s">
        <v>916</v>
      </c>
      <c r="D322" s="2" t="s">
        <v>690</v>
      </c>
      <c r="E322" s="1"/>
      <c r="F322" s="2" t="s">
        <v>534</v>
      </c>
      <c r="G322" s="2">
        <v>34.630000000000003</v>
      </c>
      <c r="H322" s="2" t="str">
        <f t="shared" si="10"/>
        <v>W</v>
      </c>
      <c r="I322" s="5"/>
      <c r="J322" s="5"/>
      <c r="K322" s="5"/>
      <c r="L322" s="5">
        <v>163.80000000000001</v>
      </c>
      <c r="M322" s="4" t="s">
        <v>191</v>
      </c>
      <c r="N322" s="5"/>
      <c r="O322" s="5"/>
      <c r="P322" s="5"/>
      <c r="R322" s="5"/>
      <c r="S322" s="5"/>
      <c r="V322" s="5"/>
      <c r="W322" s="6" t="s">
        <v>3640</v>
      </c>
    </row>
    <row r="323" spans="1:24" x14ac:dyDescent="0.15">
      <c r="A323" s="2" t="s">
        <v>68</v>
      </c>
      <c r="B323" s="2" t="s">
        <v>3929</v>
      </c>
      <c r="C323" s="2" t="s">
        <v>916</v>
      </c>
      <c r="D323" s="2" t="s">
        <v>690</v>
      </c>
      <c r="E323" s="1"/>
      <c r="F323" s="2" t="s">
        <v>3115</v>
      </c>
      <c r="G323" s="2">
        <v>-7.95</v>
      </c>
      <c r="H323" s="2" t="str">
        <f t="shared" si="10"/>
        <v>W</v>
      </c>
      <c r="I323" s="5">
        <v>108.83</v>
      </c>
      <c r="J323" s="5">
        <f>0.8649*108.83^2.583</f>
        <v>157720.30428009803</v>
      </c>
      <c r="K323" s="5"/>
      <c r="L323" s="5">
        <v>121.65</v>
      </c>
      <c r="M323" s="4" t="s">
        <v>191</v>
      </c>
      <c r="N323" s="5"/>
      <c r="O323" s="5"/>
      <c r="P323" s="5"/>
      <c r="R323" s="5"/>
      <c r="S323" s="5"/>
      <c r="T323" s="2" t="s">
        <v>382</v>
      </c>
      <c r="U323" s="40" t="s">
        <v>395</v>
      </c>
      <c r="V323" s="5"/>
      <c r="W323" s="6" t="s">
        <v>3175</v>
      </c>
    </row>
    <row r="324" spans="1:24" x14ac:dyDescent="0.15">
      <c r="A324" s="2" t="s">
        <v>68</v>
      </c>
      <c r="B324" s="2" t="s">
        <v>3929</v>
      </c>
      <c r="C324" s="2" t="s">
        <v>916</v>
      </c>
      <c r="D324" s="2" t="s">
        <v>690</v>
      </c>
      <c r="E324" s="1"/>
      <c r="F324" s="2" t="s">
        <v>374</v>
      </c>
      <c r="G324" s="2" t="s">
        <v>374</v>
      </c>
      <c r="H324" s="2" t="str">
        <f t="shared" si="10"/>
        <v>C</v>
      </c>
      <c r="I324" s="5"/>
      <c r="J324" s="5"/>
      <c r="K324" s="5"/>
      <c r="L324" s="5">
        <v>122.5</v>
      </c>
      <c r="M324" s="4" t="s">
        <v>191</v>
      </c>
      <c r="N324" s="5"/>
      <c r="O324" s="5"/>
      <c r="P324" s="5"/>
      <c r="R324" s="5"/>
      <c r="S324" s="5"/>
      <c r="T324" s="2">
        <v>4.9000000000000004</v>
      </c>
      <c r="U324" s="2" t="str">
        <f>IF(T324&lt;=1, "1",IF(AND(T324&gt;1,T324&lt;4), "2-3", "+4"))</f>
        <v>+4</v>
      </c>
      <c r="V324" s="5"/>
      <c r="W324" s="6" t="s">
        <v>3176</v>
      </c>
    </row>
    <row r="325" spans="1:24" x14ac:dyDescent="0.15">
      <c r="A325" s="17" t="s">
        <v>68</v>
      </c>
      <c r="B325" s="17" t="s">
        <v>3929</v>
      </c>
      <c r="C325" s="17" t="s">
        <v>916</v>
      </c>
      <c r="D325" s="17" t="s">
        <v>690</v>
      </c>
      <c r="E325" s="18"/>
      <c r="F325" s="17" t="s">
        <v>3121</v>
      </c>
      <c r="G325" s="17" t="s">
        <v>3121</v>
      </c>
      <c r="H325" s="17" t="str">
        <f t="shared" si="10"/>
        <v>W</v>
      </c>
      <c r="I325" s="38">
        <v>100.46</v>
      </c>
      <c r="J325" s="38">
        <v>138742</v>
      </c>
      <c r="K325" s="38"/>
      <c r="L325" s="38">
        <v>112.8</v>
      </c>
      <c r="M325" s="19" t="s">
        <v>191</v>
      </c>
      <c r="N325" s="38">
        <v>44.92</v>
      </c>
      <c r="O325" s="38"/>
      <c r="P325" s="38">
        <v>46.06</v>
      </c>
      <c r="Q325" s="17" t="s">
        <v>18</v>
      </c>
      <c r="R325" s="38">
        <v>5193.7</v>
      </c>
      <c r="S325" s="38">
        <v>3.74</v>
      </c>
      <c r="T325" s="17">
        <v>3.05</v>
      </c>
      <c r="U325" s="2" t="str">
        <f>IF(T325&lt;=1, "1",IF(AND(T325&gt;1,T325&lt;4), "2-3", "+4"))</f>
        <v>2-3</v>
      </c>
      <c r="V325" s="38">
        <f>S325*T325</f>
        <v>11.407</v>
      </c>
      <c r="W325" s="20" t="s">
        <v>3132</v>
      </c>
      <c r="X325" s="17"/>
    </row>
    <row r="326" spans="1:24" x14ac:dyDescent="0.15">
      <c r="A326" s="2" t="s">
        <v>68</v>
      </c>
      <c r="B326" s="2" t="s">
        <v>3929</v>
      </c>
      <c r="C326" s="2" t="s">
        <v>916</v>
      </c>
      <c r="D326" s="2" t="s">
        <v>690</v>
      </c>
      <c r="E326" s="1"/>
      <c r="F326" s="2" t="s">
        <v>3120</v>
      </c>
      <c r="G326" s="2" t="s">
        <v>374</v>
      </c>
      <c r="H326" s="2" t="str">
        <f t="shared" si="10"/>
        <v>C</v>
      </c>
      <c r="I326" s="5"/>
      <c r="J326" s="5"/>
      <c r="K326" s="7"/>
      <c r="L326" s="5">
        <v>117</v>
      </c>
      <c r="M326" s="2" t="s">
        <v>191</v>
      </c>
      <c r="N326" s="5"/>
      <c r="O326" s="5"/>
      <c r="P326" s="5"/>
      <c r="R326" s="5"/>
      <c r="S326" s="5"/>
      <c r="T326" s="2">
        <v>5.9</v>
      </c>
      <c r="U326" s="2" t="str">
        <f>IF(T326&lt;=1, "1",IF(AND(T326&gt;1,T326&lt;4), "2-3", "+4"))</f>
        <v>+4</v>
      </c>
      <c r="V326" s="5"/>
      <c r="W326" s="6" t="s">
        <v>3389</v>
      </c>
    </row>
    <row r="327" spans="1:24" x14ac:dyDescent="0.15">
      <c r="A327" s="2" t="s">
        <v>68</v>
      </c>
      <c r="B327" s="2" t="s">
        <v>3928</v>
      </c>
      <c r="C327" s="2" t="s">
        <v>3477</v>
      </c>
      <c r="D327" s="2" t="s">
        <v>691</v>
      </c>
      <c r="E327" s="1"/>
      <c r="F327" s="2" t="s">
        <v>73</v>
      </c>
      <c r="G327" s="2">
        <v>10</v>
      </c>
      <c r="H327" s="2" t="str">
        <f t="shared" si="10"/>
        <v>W</v>
      </c>
      <c r="I327" s="5">
        <f>EXP(LN(82/1.0534)/0.9986)</f>
        <v>78.319870212303627</v>
      </c>
      <c r="J327" s="5">
        <v>58095</v>
      </c>
      <c r="K327" s="5"/>
      <c r="L327" s="5">
        <v>120</v>
      </c>
      <c r="M327" s="4" t="s">
        <v>191</v>
      </c>
      <c r="N327" s="5"/>
      <c r="O327" s="5"/>
      <c r="P327" s="5"/>
      <c r="R327" s="5"/>
      <c r="S327" s="5"/>
      <c r="V327" s="5"/>
      <c r="W327" s="6" t="s">
        <v>3177</v>
      </c>
    </row>
    <row r="328" spans="1:24" x14ac:dyDescent="0.15">
      <c r="A328" s="2" t="s">
        <v>68</v>
      </c>
      <c r="B328" s="2" t="s">
        <v>3928</v>
      </c>
      <c r="C328" s="2" t="s">
        <v>3477</v>
      </c>
      <c r="D328" s="2" t="s">
        <v>691</v>
      </c>
      <c r="E328" s="1"/>
      <c r="F328" s="2" t="s">
        <v>73</v>
      </c>
      <c r="G328" s="2">
        <v>10.54</v>
      </c>
      <c r="H328" s="2" t="str">
        <f t="shared" si="10"/>
        <v>W</v>
      </c>
      <c r="I328" s="5">
        <v>82</v>
      </c>
      <c r="J328" s="5">
        <v>59000</v>
      </c>
      <c r="K328" s="5"/>
      <c r="L328" s="5">
        <v>158</v>
      </c>
      <c r="M328" s="4" t="s">
        <v>191</v>
      </c>
      <c r="N328" s="5">
        <v>38.299999999999997</v>
      </c>
      <c r="O328" s="5">
        <v>36.9</v>
      </c>
      <c r="P328" s="5">
        <f xml:space="preserve"> 0.9894*N328 - 10.187</f>
        <v>27.70702</v>
      </c>
      <c r="Q328" s="2" t="s">
        <v>376</v>
      </c>
      <c r="R328" s="5">
        <f>P328*L328</f>
        <v>4377.7091600000003</v>
      </c>
      <c r="S328" s="5">
        <f>(R328/J328)*100</f>
        <v>7.4198460338983061</v>
      </c>
      <c r="T328" s="2" t="s">
        <v>122</v>
      </c>
      <c r="V328" s="5"/>
      <c r="W328" s="6" t="s">
        <v>2960</v>
      </c>
    </row>
    <row r="329" spans="1:24" x14ac:dyDescent="0.15">
      <c r="A329" s="1" t="s">
        <v>68</v>
      </c>
      <c r="B329" s="2" t="s">
        <v>3928</v>
      </c>
      <c r="C329" s="2" t="s">
        <v>3477</v>
      </c>
      <c r="D329" s="1" t="s">
        <v>691</v>
      </c>
      <c r="E329" s="1"/>
      <c r="F329" s="1" t="s">
        <v>219</v>
      </c>
      <c r="G329" s="1">
        <v>2.97</v>
      </c>
      <c r="H329" s="2" t="str">
        <f t="shared" si="10"/>
        <v>W</v>
      </c>
      <c r="I329" s="8"/>
      <c r="J329" s="8"/>
      <c r="K329" s="8">
        <v>40</v>
      </c>
      <c r="L329" s="8"/>
      <c r="M329" s="1" t="s">
        <v>191</v>
      </c>
      <c r="N329" s="8"/>
      <c r="O329" s="8"/>
      <c r="P329" s="8"/>
      <c r="Q329" s="1"/>
      <c r="R329" s="8"/>
      <c r="S329" s="8"/>
      <c r="T329" s="1"/>
      <c r="U329" s="1"/>
      <c r="V329" s="8"/>
      <c r="W329" s="6" t="s">
        <v>3626</v>
      </c>
    </row>
    <row r="330" spans="1:24" x14ac:dyDescent="0.15">
      <c r="A330" s="2" t="s">
        <v>68</v>
      </c>
      <c r="B330" s="2" t="s">
        <v>3928</v>
      </c>
      <c r="C330" s="2" t="s">
        <v>3477</v>
      </c>
      <c r="D330" s="2" t="s">
        <v>691</v>
      </c>
      <c r="E330" s="1"/>
      <c r="F330" s="2" t="s">
        <v>3374</v>
      </c>
      <c r="G330" s="2">
        <v>1.2949999999999999</v>
      </c>
      <c r="H330" s="2" t="str">
        <f t="shared" si="10"/>
        <v>W</v>
      </c>
      <c r="I330" s="5"/>
      <c r="J330" s="5"/>
      <c r="K330" s="5"/>
      <c r="L330" s="5">
        <v>99</v>
      </c>
      <c r="M330" s="2" t="s">
        <v>191</v>
      </c>
      <c r="N330" s="5">
        <v>34.44</v>
      </c>
      <c r="O330" s="5"/>
      <c r="P330" s="5">
        <v>23.56</v>
      </c>
      <c r="Q330" s="2" t="s">
        <v>18</v>
      </c>
      <c r="R330" s="5">
        <v>2332.44</v>
      </c>
      <c r="S330" s="5"/>
      <c r="V330" s="5"/>
      <c r="W330" s="6" t="s">
        <v>3390</v>
      </c>
    </row>
    <row r="331" spans="1:24" x14ac:dyDescent="0.15">
      <c r="A331" s="2" t="s">
        <v>68</v>
      </c>
      <c r="B331" s="2" t="s">
        <v>3928</v>
      </c>
      <c r="C331" s="2" t="s">
        <v>3477</v>
      </c>
      <c r="D331" s="2" t="s">
        <v>691</v>
      </c>
      <c r="E331" s="1"/>
      <c r="F331" s="2" t="s">
        <v>59</v>
      </c>
      <c r="G331" s="2">
        <v>-11.17</v>
      </c>
      <c r="H331" s="2" t="str">
        <f t="shared" si="10"/>
        <v>W</v>
      </c>
      <c r="I331" s="5">
        <v>75</v>
      </c>
      <c r="J331" s="5">
        <v>53608.6</v>
      </c>
      <c r="K331" s="5"/>
      <c r="L331" s="5">
        <v>122</v>
      </c>
      <c r="M331" s="2" t="s">
        <v>191</v>
      </c>
      <c r="N331" s="5">
        <v>35.1</v>
      </c>
      <c r="O331" s="5">
        <v>35.1</v>
      </c>
      <c r="P331" s="5">
        <v>26.8</v>
      </c>
      <c r="Q331" s="2" t="s">
        <v>18</v>
      </c>
      <c r="R331" s="5">
        <v>3208.6</v>
      </c>
      <c r="S331" s="5">
        <v>5.9850000000000003</v>
      </c>
      <c r="T331" s="2">
        <v>2.5</v>
      </c>
      <c r="U331" s="2" t="str">
        <f>IF(T331&lt;=1, "1",IF(AND(T331&gt;1,T331&lt;4), "2-3", "+4"))</f>
        <v>2-3</v>
      </c>
      <c r="V331" s="5">
        <f>S331*T331</f>
        <v>14.9625</v>
      </c>
      <c r="W331" s="6" t="s">
        <v>3391</v>
      </c>
    </row>
    <row r="332" spans="1:24" x14ac:dyDescent="0.15">
      <c r="A332" s="2" t="s">
        <v>68</v>
      </c>
      <c r="B332" s="2" t="s">
        <v>3928</v>
      </c>
      <c r="C332" s="2" t="s">
        <v>3477</v>
      </c>
      <c r="D332" s="2" t="s">
        <v>691</v>
      </c>
      <c r="E332" s="1"/>
      <c r="F332" s="2" t="s">
        <v>74</v>
      </c>
      <c r="G332" s="2">
        <v>-4.33</v>
      </c>
      <c r="H332" s="2" t="str">
        <f t="shared" si="10"/>
        <v>W</v>
      </c>
      <c r="I332" s="5">
        <f>EXP(LN(89.5/1.0534)/0.9986)</f>
        <v>85.4937623233469</v>
      </c>
      <c r="J332" s="5">
        <v>68978</v>
      </c>
      <c r="K332" s="5"/>
      <c r="L332" s="5">
        <v>172</v>
      </c>
      <c r="M332" s="4" t="s">
        <v>191</v>
      </c>
      <c r="N332" s="5">
        <v>40</v>
      </c>
      <c r="O332" s="5"/>
      <c r="P332" s="5">
        <v>30</v>
      </c>
      <c r="Q332" s="2" t="s">
        <v>18</v>
      </c>
      <c r="R332" s="5">
        <v>5160</v>
      </c>
      <c r="S332" s="5">
        <v>7.48</v>
      </c>
      <c r="T332" s="2">
        <v>2</v>
      </c>
      <c r="U332" s="2" t="str">
        <f>IF(T332&lt;=1, "1",IF(AND(T332&gt;1,T332&lt;4), "2-3", "+4"))</f>
        <v>2-3</v>
      </c>
      <c r="V332" s="5">
        <f>S332*T332</f>
        <v>14.96</v>
      </c>
      <c r="W332" s="6" t="s">
        <v>3178</v>
      </c>
    </row>
    <row r="333" spans="1:24" x14ac:dyDescent="0.15">
      <c r="A333" s="2" t="s">
        <v>68</v>
      </c>
      <c r="B333" s="2" t="s">
        <v>3928</v>
      </c>
      <c r="C333" s="2" t="s">
        <v>3477</v>
      </c>
      <c r="D333" s="2" t="s">
        <v>691</v>
      </c>
      <c r="E333" s="1"/>
      <c r="F333" s="2" t="s">
        <v>2429</v>
      </c>
      <c r="H333" s="2" t="s">
        <v>3887</v>
      </c>
      <c r="I333" s="5"/>
      <c r="J333" s="5"/>
      <c r="K333" s="5"/>
      <c r="L333" s="5">
        <v>104.6</v>
      </c>
      <c r="M333" s="4" t="s">
        <v>191</v>
      </c>
      <c r="N333" s="5">
        <f>MEDIAN(33,36)</f>
        <v>34.5</v>
      </c>
      <c r="O333" s="5">
        <f>MEDIAN(33,36)</f>
        <v>34.5</v>
      </c>
      <c r="P333" s="5">
        <v>23</v>
      </c>
      <c r="Q333" s="2" t="s">
        <v>18</v>
      </c>
      <c r="R333" s="5">
        <v>2405</v>
      </c>
      <c r="S333" s="5"/>
      <c r="T333" s="9">
        <f>MEDIAN(4,5)</f>
        <v>4.5</v>
      </c>
      <c r="U333" s="2" t="str">
        <f>IF(T333&lt;=1, "1",IF(AND(T333&gt;1,T333&lt;4), "2-3", "+4"))</f>
        <v>+4</v>
      </c>
      <c r="V333" s="5"/>
      <c r="W333" s="6" t="s">
        <v>2448</v>
      </c>
    </row>
    <row r="334" spans="1:24" x14ac:dyDescent="0.15">
      <c r="A334" s="2" t="s">
        <v>68</v>
      </c>
      <c r="B334" s="2" t="s">
        <v>3928</v>
      </c>
      <c r="C334" s="2" t="s">
        <v>3477</v>
      </c>
      <c r="D334" s="2" t="s">
        <v>691</v>
      </c>
      <c r="E334" s="1"/>
      <c r="F334" s="2" t="s">
        <v>302</v>
      </c>
      <c r="G334" s="2">
        <v>19.23</v>
      </c>
      <c r="H334" s="2" t="str">
        <f t="shared" si="10"/>
        <v>W</v>
      </c>
      <c r="I334" s="5">
        <v>66</v>
      </c>
      <c r="J334" s="5">
        <f xml:space="preserve"> 10.2149*I334^1.962</f>
        <v>37947.163712691465</v>
      </c>
      <c r="K334" s="5"/>
      <c r="L334" s="5">
        <v>73.2</v>
      </c>
      <c r="M334" s="4" t="s">
        <v>191</v>
      </c>
      <c r="N334" s="5">
        <v>40</v>
      </c>
      <c r="O334" s="5"/>
      <c r="P334" s="5">
        <f xml:space="preserve"> 0.9894*N334 - 10.187</f>
        <v>29.389000000000003</v>
      </c>
      <c r="Q334" s="2" t="s">
        <v>376</v>
      </c>
      <c r="R334" s="5">
        <f>P334*L334</f>
        <v>2151.2748000000001</v>
      </c>
      <c r="S334" s="5">
        <f>(R334/J334)*100</f>
        <v>5.669131997025918</v>
      </c>
      <c r="V334" s="5"/>
      <c r="W334" s="6" t="s">
        <v>2961</v>
      </c>
    </row>
    <row r="335" spans="1:24" x14ac:dyDescent="0.15">
      <c r="A335" s="4" t="s">
        <v>68</v>
      </c>
      <c r="B335" s="2" t="s">
        <v>3928</v>
      </c>
      <c r="C335" s="4" t="s">
        <v>3477</v>
      </c>
      <c r="D335" s="4" t="s">
        <v>691</v>
      </c>
      <c r="E335" s="1"/>
      <c r="F335" s="4" t="s">
        <v>74</v>
      </c>
      <c r="G335" s="4">
        <v>-4.33</v>
      </c>
      <c r="H335" s="2" t="str">
        <f t="shared" si="10"/>
        <v>W</v>
      </c>
      <c r="I335" s="5">
        <v>81.2</v>
      </c>
      <c r="J335" s="5">
        <v>65600</v>
      </c>
      <c r="K335" s="33"/>
      <c r="L335" s="33">
        <v>176.7</v>
      </c>
      <c r="M335" s="4" t="s">
        <v>191</v>
      </c>
      <c r="N335" s="33"/>
      <c r="O335" s="33">
        <v>35.5</v>
      </c>
      <c r="P335" s="5">
        <v>25.5</v>
      </c>
      <c r="Q335" s="2" t="s">
        <v>18</v>
      </c>
      <c r="R335" s="5">
        <v>4505.8999999999996</v>
      </c>
      <c r="S335" s="5">
        <v>6.87</v>
      </c>
      <c r="T335" s="2">
        <v>4</v>
      </c>
      <c r="U335" s="2" t="str">
        <f>IF(T335&lt;=1, "1",IF(AND(T335&gt;1,T335&lt;4), "2-3", "+4"))</f>
        <v>+4</v>
      </c>
      <c r="V335" s="5">
        <v>27.62</v>
      </c>
      <c r="W335" s="10" t="s">
        <v>1895</v>
      </c>
    </row>
    <row r="336" spans="1:24" x14ac:dyDescent="0.15">
      <c r="A336" s="2" t="s">
        <v>68</v>
      </c>
      <c r="B336" s="2" t="s">
        <v>3928</v>
      </c>
      <c r="C336" s="2" t="s">
        <v>3477</v>
      </c>
      <c r="D336" s="2" t="s">
        <v>691</v>
      </c>
      <c r="E336" s="1"/>
      <c r="F336" s="2" t="s">
        <v>3375</v>
      </c>
      <c r="G336" s="2">
        <v>15.86</v>
      </c>
      <c r="H336" s="2" t="str">
        <f t="shared" si="10"/>
        <v>W</v>
      </c>
      <c r="I336" s="5">
        <f>EXP(LN(87.9/1.0534)/0.9986)</f>
        <v>83.963258777722629</v>
      </c>
      <c r="J336" s="5">
        <f xml:space="preserve"> 10.2149*I336^1.962</f>
        <v>60855.144592036137</v>
      </c>
      <c r="K336" s="5"/>
      <c r="L336" s="5">
        <v>146.4</v>
      </c>
      <c r="M336" s="2" t="s">
        <v>191</v>
      </c>
      <c r="N336" s="5"/>
      <c r="O336" s="5"/>
      <c r="P336" s="5"/>
      <c r="R336" s="5"/>
      <c r="S336" s="5"/>
      <c r="T336" s="2">
        <v>2</v>
      </c>
      <c r="U336" s="2" t="str">
        <f>IF(T336&lt;=1, "1",IF(AND(T336&gt;1,T336&lt;4), "2-3", "+4"))</f>
        <v>2-3</v>
      </c>
      <c r="V336" s="5"/>
      <c r="W336" s="6" t="s">
        <v>3392</v>
      </c>
    </row>
    <row r="337" spans="1:24" x14ac:dyDescent="0.15">
      <c r="A337" s="2" t="s">
        <v>68</v>
      </c>
      <c r="B337" s="2" t="s">
        <v>3928</v>
      </c>
      <c r="C337" s="2" t="s">
        <v>3477</v>
      </c>
      <c r="D337" s="2" t="s">
        <v>691</v>
      </c>
      <c r="E337" s="1"/>
      <c r="F337" s="2" t="s">
        <v>3118</v>
      </c>
      <c r="G337" s="2">
        <v>12.47</v>
      </c>
      <c r="H337" s="2" t="str">
        <f t="shared" si="10"/>
        <v>W</v>
      </c>
      <c r="I337" s="5"/>
      <c r="J337" s="5"/>
      <c r="K337" s="5"/>
      <c r="L337" s="5">
        <v>138.4</v>
      </c>
      <c r="M337" s="4" t="s">
        <v>191</v>
      </c>
      <c r="N337" s="5"/>
      <c r="O337" s="5"/>
      <c r="P337" s="5"/>
      <c r="R337" s="5"/>
      <c r="S337" s="5"/>
      <c r="V337" s="5"/>
      <c r="W337" s="6" t="s">
        <v>3179</v>
      </c>
    </row>
    <row r="338" spans="1:24" x14ac:dyDescent="0.15">
      <c r="A338" s="2" t="s">
        <v>68</v>
      </c>
      <c r="B338" s="2" t="s">
        <v>3928</v>
      </c>
      <c r="C338" s="2" t="s">
        <v>3477</v>
      </c>
      <c r="D338" s="2" t="s">
        <v>691</v>
      </c>
      <c r="E338" s="1"/>
      <c r="F338" s="2" t="s">
        <v>59</v>
      </c>
      <c r="G338" s="2">
        <v>-11.17</v>
      </c>
      <c r="H338" s="2" t="str">
        <f t="shared" si="10"/>
        <v>W</v>
      </c>
      <c r="I338" s="5">
        <f>EXP(LN(81.7/1.0534)/0.9986)</f>
        <v>78.032933125586752</v>
      </c>
      <c r="J338" s="5">
        <v>53487</v>
      </c>
      <c r="K338" s="5"/>
      <c r="L338" s="5">
        <v>124</v>
      </c>
      <c r="M338" s="4" t="s">
        <v>191</v>
      </c>
      <c r="N338" s="5">
        <v>34.799999999999997</v>
      </c>
      <c r="O338" s="5"/>
      <c r="P338" s="5">
        <v>25.7</v>
      </c>
      <c r="Q338" s="2" t="s">
        <v>18</v>
      </c>
      <c r="R338" s="5">
        <v>3187</v>
      </c>
      <c r="S338" s="5">
        <v>5.96</v>
      </c>
      <c r="T338" s="2">
        <v>2.6</v>
      </c>
      <c r="U338" s="2" t="str">
        <f>IF(T338&lt;=1, "1",IF(AND(T338&gt;1,T338&lt;4), "2-3", "+4"))</f>
        <v>2-3</v>
      </c>
      <c r="V338" s="5">
        <f>S338*T338</f>
        <v>15.496</v>
      </c>
      <c r="W338" s="6" t="s">
        <v>3180</v>
      </c>
    </row>
    <row r="339" spans="1:24" x14ac:dyDescent="0.15">
      <c r="A339" s="2" t="s">
        <v>68</v>
      </c>
      <c r="B339" s="2" t="s">
        <v>3928</v>
      </c>
      <c r="C339" s="2" t="s">
        <v>3477</v>
      </c>
      <c r="D339" s="2" t="s">
        <v>691</v>
      </c>
      <c r="E339" s="1"/>
      <c r="F339" s="2" t="s">
        <v>26</v>
      </c>
      <c r="G339" s="2">
        <v>-12.57</v>
      </c>
      <c r="H339" s="2" t="str">
        <f t="shared" si="10"/>
        <v>W</v>
      </c>
      <c r="I339" s="5">
        <v>93.05</v>
      </c>
      <c r="J339" s="5">
        <f xml:space="preserve"> 10.2149*I339^1.962</f>
        <v>74448.448582653</v>
      </c>
      <c r="K339" s="7"/>
      <c r="L339" s="5">
        <v>136.4</v>
      </c>
      <c r="M339" s="2" t="s">
        <v>191</v>
      </c>
      <c r="N339" s="5"/>
      <c r="O339" s="5"/>
      <c r="P339" s="5"/>
      <c r="R339" s="5"/>
      <c r="S339" s="5"/>
      <c r="V339" s="5"/>
      <c r="W339" s="6" t="s">
        <v>3393</v>
      </c>
    </row>
    <row r="340" spans="1:24" x14ac:dyDescent="0.15">
      <c r="A340" s="2" t="s">
        <v>68</v>
      </c>
      <c r="B340" s="2" t="s">
        <v>3928</v>
      </c>
      <c r="C340" s="2" t="s">
        <v>3477</v>
      </c>
      <c r="D340" s="2" t="s">
        <v>691</v>
      </c>
      <c r="E340" s="1"/>
      <c r="F340" s="2" t="s">
        <v>217</v>
      </c>
      <c r="G340" s="2">
        <v>24.4</v>
      </c>
      <c r="H340" s="2" t="str">
        <f t="shared" si="10"/>
        <v>W</v>
      </c>
      <c r="I340" s="5">
        <v>82</v>
      </c>
      <c r="J340" s="5">
        <f xml:space="preserve"> 10.2149*I340^1.962</f>
        <v>58094.751424340764</v>
      </c>
      <c r="K340" s="5"/>
      <c r="L340" s="5">
        <v>137.9</v>
      </c>
      <c r="M340" s="4" t="s">
        <v>191</v>
      </c>
      <c r="N340" s="5"/>
      <c r="O340" s="5"/>
      <c r="P340" s="5"/>
      <c r="R340" s="5"/>
      <c r="S340" s="5"/>
      <c r="V340" s="5"/>
      <c r="W340" s="6" t="s">
        <v>3235</v>
      </c>
    </row>
    <row r="341" spans="1:24" x14ac:dyDescent="0.15">
      <c r="A341" s="2" t="s">
        <v>68</v>
      </c>
      <c r="B341" s="2" t="s">
        <v>3928</v>
      </c>
      <c r="C341" s="2" t="s">
        <v>3477</v>
      </c>
      <c r="D341" s="2" t="s">
        <v>691</v>
      </c>
      <c r="E341" s="1"/>
      <c r="F341" s="2" t="s">
        <v>203</v>
      </c>
      <c r="G341" s="2">
        <v>6.17</v>
      </c>
      <c r="H341" s="2" t="str">
        <f t="shared" si="10"/>
        <v>W</v>
      </c>
      <c r="I341" s="5">
        <v>71.72</v>
      </c>
      <c r="J341" s="5">
        <f xml:space="preserve"> 10.2149*I341^1.962</f>
        <v>44668.39526676527</v>
      </c>
      <c r="K341" s="7"/>
      <c r="L341" s="5">
        <v>105.3</v>
      </c>
      <c r="M341" s="2" t="s">
        <v>191</v>
      </c>
      <c r="N341" s="5">
        <v>33.799999999999997</v>
      </c>
      <c r="O341" s="5">
        <v>33.799999999999997</v>
      </c>
      <c r="P341" s="5">
        <v>21.1</v>
      </c>
      <c r="Q341" s="2" t="s">
        <v>18</v>
      </c>
      <c r="R341" s="5">
        <v>2221.83</v>
      </c>
      <c r="S341" s="5">
        <f>(R341/J341)*100</f>
        <v>4.97405377276473</v>
      </c>
      <c r="T341" s="2">
        <v>2.7</v>
      </c>
      <c r="U341" s="2" t="str">
        <f>IF(T341&lt;=1, "1",IF(AND(T341&gt;1,T341&lt;4), "2-3", "+4"))</f>
        <v>2-3</v>
      </c>
      <c r="V341" s="5">
        <f>S341*T341</f>
        <v>13.429945186464773</v>
      </c>
      <c r="W341" s="6" t="s">
        <v>3395</v>
      </c>
    </row>
    <row r="342" spans="1:24" x14ac:dyDescent="0.15">
      <c r="A342" s="2" t="s">
        <v>68</v>
      </c>
      <c r="B342" s="2" t="s">
        <v>3928</v>
      </c>
      <c r="C342" s="2" t="s">
        <v>3477</v>
      </c>
      <c r="D342" s="2" t="s">
        <v>691</v>
      </c>
      <c r="E342" s="1"/>
      <c r="F342" s="2" t="s">
        <v>3373</v>
      </c>
      <c r="G342" s="2">
        <v>17.149999999999999</v>
      </c>
      <c r="H342" s="2" t="str">
        <f t="shared" si="10"/>
        <v>W</v>
      </c>
      <c r="I342" s="5"/>
      <c r="J342" s="5"/>
      <c r="K342" s="5"/>
      <c r="L342" s="5">
        <v>155</v>
      </c>
      <c r="M342" s="2" t="s">
        <v>191</v>
      </c>
      <c r="N342" s="5"/>
      <c r="O342" s="5"/>
      <c r="P342" s="5"/>
      <c r="R342" s="5"/>
      <c r="S342" s="5"/>
      <c r="T342" s="2">
        <v>5</v>
      </c>
      <c r="U342" s="2" t="str">
        <f>IF(T342&lt;=1, "1",IF(AND(T342&gt;1,T342&lt;4), "2-3", "+4"))</f>
        <v>+4</v>
      </c>
      <c r="V342" s="5"/>
      <c r="W342" s="6" t="s">
        <v>3394</v>
      </c>
    </row>
    <row r="343" spans="1:24" x14ac:dyDescent="0.15">
      <c r="A343" s="2" t="s">
        <v>68</v>
      </c>
      <c r="B343" s="2" t="s">
        <v>3928</v>
      </c>
      <c r="C343" s="2" t="s">
        <v>3477</v>
      </c>
      <c r="D343" s="2" t="s">
        <v>691</v>
      </c>
      <c r="E343" s="1"/>
      <c r="F343" s="2" t="s">
        <v>3117</v>
      </c>
      <c r="G343" s="2">
        <v>20.32</v>
      </c>
      <c r="H343" s="2" t="str">
        <f t="shared" si="10"/>
        <v>W</v>
      </c>
      <c r="I343" s="5">
        <v>73</v>
      </c>
      <c r="J343" s="5">
        <f xml:space="preserve"> 10.2149*I343^1.962</f>
        <v>46245.93569570726</v>
      </c>
      <c r="K343" s="5"/>
      <c r="L343" s="5">
        <v>97</v>
      </c>
      <c r="M343" s="4" t="s">
        <v>191</v>
      </c>
      <c r="N343" s="5"/>
      <c r="O343" s="5"/>
      <c r="P343" s="5"/>
      <c r="R343" s="5"/>
      <c r="S343" s="5"/>
      <c r="V343" s="5"/>
      <c r="W343" s="6" t="s">
        <v>3181</v>
      </c>
    </row>
    <row r="344" spans="1:24" x14ac:dyDescent="0.15">
      <c r="A344" s="2" t="s">
        <v>68</v>
      </c>
      <c r="B344" s="2" t="s">
        <v>3928</v>
      </c>
      <c r="C344" s="2" t="s">
        <v>3477</v>
      </c>
      <c r="D344" s="2" t="s">
        <v>691</v>
      </c>
      <c r="E344" s="1"/>
      <c r="F344" s="2" t="s">
        <v>1925</v>
      </c>
      <c r="G344" s="2">
        <v>19.899999999999999</v>
      </c>
      <c r="H344" s="2" t="str">
        <f t="shared" si="10"/>
        <v>W</v>
      </c>
      <c r="I344" s="5"/>
      <c r="J344" s="5"/>
      <c r="K344" s="5">
        <v>19.5</v>
      </c>
      <c r="L344" s="5"/>
      <c r="M344" s="4" t="s">
        <v>191</v>
      </c>
      <c r="N344" s="5"/>
      <c r="O344" s="5"/>
      <c r="P344" s="5"/>
      <c r="R344" s="5"/>
      <c r="S344" s="5"/>
      <c r="V344" s="5"/>
      <c r="W344" s="6" t="s">
        <v>3182</v>
      </c>
    </row>
    <row r="345" spans="1:24" x14ac:dyDescent="0.15">
      <c r="A345" s="17" t="s">
        <v>68</v>
      </c>
      <c r="B345" s="17" t="s">
        <v>3928</v>
      </c>
      <c r="C345" s="17" t="s">
        <v>3477</v>
      </c>
      <c r="D345" s="17" t="s">
        <v>691</v>
      </c>
      <c r="E345" s="18"/>
      <c r="F345" s="17" t="s">
        <v>3121</v>
      </c>
      <c r="G345" s="17" t="s">
        <v>3121</v>
      </c>
      <c r="H345" s="17" t="str">
        <f t="shared" si="10"/>
        <v>W</v>
      </c>
      <c r="I345" s="38">
        <v>81.55</v>
      </c>
      <c r="J345" s="38">
        <v>57471</v>
      </c>
      <c r="K345" s="38"/>
      <c r="L345" s="38">
        <v>130</v>
      </c>
      <c r="M345" s="19" t="s">
        <v>191</v>
      </c>
      <c r="N345" s="38">
        <v>37.89</v>
      </c>
      <c r="O345" s="38"/>
      <c r="P345" s="38">
        <v>26.18</v>
      </c>
      <c r="Q345" s="17" t="s">
        <v>18</v>
      </c>
      <c r="R345" s="38">
        <v>3403.4</v>
      </c>
      <c r="S345" s="38">
        <v>5.92</v>
      </c>
      <c r="T345" s="17">
        <v>3.1</v>
      </c>
      <c r="U345" s="2" t="str">
        <f>IF(T345&lt;=1, "1",IF(AND(T345&gt;1,T345&lt;4), "2-3", "+4"))</f>
        <v>2-3</v>
      </c>
      <c r="V345" s="38">
        <f>S345*T345</f>
        <v>18.352</v>
      </c>
      <c r="W345" s="20" t="s">
        <v>3132</v>
      </c>
      <c r="X345" s="17"/>
    </row>
    <row r="346" spans="1:24" x14ac:dyDescent="0.15">
      <c r="A346" s="2" t="s">
        <v>68</v>
      </c>
      <c r="B346" s="2" t="s">
        <v>3928</v>
      </c>
      <c r="C346" s="2" t="s">
        <v>3477</v>
      </c>
      <c r="D346" s="2" t="s">
        <v>691</v>
      </c>
      <c r="E346" s="1"/>
      <c r="F346" s="2" t="s">
        <v>74</v>
      </c>
      <c r="G346" s="2">
        <v>-4.33</v>
      </c>
      <c r="H346" s="2" t="str">
        <f t="shared" si="10"/>
        <v>W</v>
      </c>
      <c r="I346" s="5"/>
      <c r="J346" s="5"/>
      <c r="K346" s="5"/>
      <c r="L346" s="5">
        <v>163.30000000000001</v>
      </c>
      <c r="M346" s="4" t="s">
        <v>191</v>
      </c>
      <c r="N346" s="5"/>
      <c r="O346" s="5"/>
      <c r="P346" s="5"/>
      <c r="R346" s="5"/>
      <c r="S346" s="5"/>
      <c r="T346" s="2">
        <v>3.1</v>
      </c>
      <c r="U346" s="2" t="str">
        <f>IF(T346&lt;=1, "1",IF(AND(T346&gt;1,T346&lt;4), "2-3", "+4"))</f>
        <v>2-3</v>
      </c>
      <c r="V346" s="5"/>
      <c r="W346" s="6" t="s">
        <v>3183</v>
      </c>
    </row>
    <row r="347" spans="1:24" x14ac:dyDescent="0.15">
      <c r="A347" s="2" t="s">
        <v>68</v>
      </c>
      <c r="B347" s="2" t="s">
        <v>3928</v>
      </c>
      <c r="C347" s="2" t="s">
        <v>3478</v>
      </c>
      <c r="D347" s="2" t="s">
        <v>3119</v>
      </c>
      <c r="E347" s="1"/>
      <c r="F347" s="2" t="s">
        <v>379</v>
      </c>
      <c r="G347" s="2">
        <v>23.2</v>
      </c>
      <c r="H347" s="2" t="str">
        <f t="shared" si="10"/>
        <v>W</v>
      </c>
      <c r="I347" s="5"/>
      <c r="J347" s="5"/>
      <c r="K347" s="5">
        <v>14.2</v>
      </c>
      <c r="L347" s="5"/>
      <c r="M347" s="4" t="s">
        <v>191</v>
      </c>
      <c r="N347" s="5"/>
      <c r="O347" s="5"/>
      <c r="P347" s="5"/>
      <c r="R347" s="5"/>
      <c r="S347" s="5"/>
      <c r="V347" s="5"/>
      <c r="W347" s="6" t="s">
        <v>3153</v>
      </c>
    </row>
    <row r="348" spans="1:24" x14ac:dyDescent="0.15">
      <c r="A348" s="2" t="s">
        <v>68</v>
      </c>
      <c r="B348" s="2" t="s">
        <v>3928</v>
      </c>
      <c r="C348" s="2" t="s">
        <v>3478</v>
      </c>
      <c r="D348" s="2" t="s">
        <v>3119</v>
      </c>
      <c r="E348" s="1"/>
      <c r="F348" s="2" t="s">
        <v>379</v>
      </c>
      <c r="G348" s="2" t="s">
        <v>374</v>
      </c>
      <c r="H348" s="2" t="str">
        <f t="shared" si="10"/>
        <v>C</v>
      </c>
      <c r="I348" s="5"/>
      <c r="J348" s="5"/>
      <c r="K348" s="5">
        <v>8.1</v>
      </c>
      <c r="L348" s="5"/>
      <c r="M348" s="4" t="s">
        <v>191</v>
      </c>
      <c r="N348" s="5"/>
      <c r="O348" s="5"/>
      <c r="P348" s="5"/>
      <c r="R348" s="5"/>
      <c r="S348" s="5"/>
      <c r="V348" s="5"/>
      <c r="W348" s="6" t="s">
        <v>3184</v>
      </c>
    </row>
    <row r="349" spans="1:24" x14ac:dyDescent="0.15">
      <c r="A349" s="2" t="s">
        <v>68</v>
      </c>
      <c r="B349" s="2" t="s">
        <v>3928</v>
      </c>
      <c r="C349" s="2" t="s">
        <v>3478</v>
      </c>
      <c r="D349" s="2" t="s">
        <v>3119</v>
      </c>
      <c r="E349" s="1"/>
      <c r="F349" s="2" t="s">
        <v>379</v>
      </c>
      <c r="G349" s="2">
        <v>23.2</v>
      </c>
      <c r="H349" s="2" t="str">
        <f t="shared" si="10"/>
        <v>W</v>
      </c>
      <c r="I349" s="5"/>
      <c r="J349" s="5"/>
      <c r="K349" s="5">
        <v>12</v>
      </c>
      <c r="L349" s="5"/>
      <c r="M349" s="4" t="s">
        <v>191</v>
      </c>
      <c r="N349" s="5"/>
      <c r="O349" s="5"/>
      <c r="P349" s="5"/>
      <c r="R349" s="5"/>
      <c r="S349" s="5"/>
      <c r="V349" s="5"/>
      <c r="W349" s="6" t="s">
        <v>3184</v>
      </c>
    </row>
    <row r="350" spans="1:24" x14ac:dyDescent="0.15">
      <c r="A350" s="2" t="s">
        <v>68</v>
      </c>
      <c r="B350" s="2" t="s">
        <v>3928</v>
      </c>
      <c r="C350" s="2" t="s">
        <v>3478</v>
      </c>
      <c r="D350" s="2" t="s">
        <v>3119</v>
      </c>
      <c r="E350" s="1"/>
      <c r="F350" s="2" t="s">
        <v>3376</v>
      </c>
      <c r="G350" s="2">
        <v>23.2</v>
      </c>
      <c r="H350" s="2" t="str">
        <f t="shared" ref="H350:H371" si="11">IF(G350="captive","C","W")</f>
        <v>W</v>
      </c>
      <c r="I350" s="5"/>
      <c r="J350" s="5"/>
      <c r="K350" s="7"/>
      <c r="L350" s="5"/>
      <c r="M350" s="2" t="s">
        <v>191</v>
      </c>
      <c r="N350" s="5"/>
      <c r="O350" s="5"/>
      <c r="P350" s="5"/>
      <c r="R350" s="5"/>
      <c r="S350" s="5"/>
      <c r="V350" s="5"/>
      <c r="W350" s="6" t="s">
        <v>3396</v>
      </c>
    </row>
    <row r="351" spans="1:24" x14ac:dyDescent="0.15">
      <c r="A351" s="2" t="s">
        <v>68</v>
      </c>
      <c r="B351" s="2" t="s">
        <v>3928</v>
      </c>
      <c r="C351" s="2" t="s">
        <v>3478</v>
      </c>
      <c r="D351" s="2" t="s">
        <v>3119</v>
      </c>
      <c r="E351" s="1"/>
      <c r="F351" s="2" t="s">
        <v>379</v>
      </c>
      <c r="G351" s="2">
        <v>23.2</v>
      </c>
      <c r="H351" s="2" t="str">
        <f t="shared" si="11"/>
        <v>W</v>
      </c>
      <c r="I351" s="5"/>
      <c r="J351" s="5"/>
      <c r="K351" s="7"/>
      <c r="L351" s="5">
        <v>105.5</v>
      </c>
      <c r="M351" s="4" t="s">
        <v>191</v>
      </c>
      <c r="N351" s="5"/>
      <c r="O351" s="5"/>
      <c r="P351" s="5"/>
      <c r="R351" s="5"/>
      <c r="S351" s="5"/>
      <c r="T351" s="2">
        <v>1.304</v>
      </c>
      <c r="U351" s="2" t="str">
        <f>IF(T351&lt;=1, "1",IF(AND(T351&gt;1,T351&lt;4), "2-3", "+4"))</f>
        <v>2-3</v>
      </c>
      <c r="V351" s="5"/>
      <c r="W351" s="6" t="s">
        <v>3185</v>
      </c>
    </row>
    <row r="352" spans="1:24" x14ac:dyDescent="0.15">
      <c r="A352" s="2" t="s">
        <v>68</v>
      </c>
      <c r="B352" s="2" t="s">
        <v>3928</v>
      </c>
      <c r="C352" s="2" t="s">
        <v>3478</v>
      </c>
      <c r="D352" s="2" t="s">
        <v>3119</v>
      </c>
      <c r="E352" s="1"/>
      <c r="F352" s="2" t="s">
        <v>379</v>
      </c>
      <c r="G352" s="2">
        <v>23.2</v>
      </c>
      <c r="H352" s="2" t="str">
        <f t="shared" si="11"/>
        <v>W</v>
      </c>
      <c r="I352" s="5">
        <v>64.599999999999994</v>
      </c>
      <c r="J352" s="5">
        <f xml:space="preserve"> (0.052602*I352^1.61)*1000</f>
        <v>43199.29018541659</v>
      </c>
      <c r="K352" s="5"/>
      <c r="L352" s="5">
        <v>110</v>
      </c>
      <c r="M352" s="4" t="s">
        <v>191</v>
      </c>
      <c r="N352" s="5">
        <v>38.9</v>
      </c>
      <c r="O352" s="5"/>
      <c r="P352" s="5">
        <f xml:space="preserve"> 2.0988*N352 - 50.11</f>
        <v>31.533320000000003</v>
      </c>
      <c r="Q352" s="2" t="s">
        <v>376</v>
      </c>
      <c r="R352" s="5">
        <f>L352*P352</f>
        <v>3468.6652000000004</v>
      </c>
      <c r="S352" s="5">
        <f>(R352/J352)*100</f>
        <v>8.029449523619645</v>
      </c>
      <c r="V352" s="5"/>
      <c r="W352" s="6" t="s">
        <v>3186</v>
      </c>
    </row>
    <row r="353" spans="1:24" x14ac:dyDescent="0.15">
      <c r="A353" s="17" t="s">
        <v>68</v>
      </c>
      <c r="B353" s="17" t="s">
        <v>3928</v>
      </c>
      <c r="C353" s="17" t="s">
        <v>3478</v>
      </c>
      <c r="D353" s="17" t="s">
        <v>3119</v>
      </c>
      <c r="E353" s="18"/>
      <c r="F353" s="17" t="s">
        <v>3121</v>
      </c>
      <c r="G353" s="17" t="s">
        <v>3121</v>
      </c>
      <c r="H353" s="17" t="str">
        <f t="shared" si="11"/>
        <v>W</v>
      </c>
      <c r="I353" s="38">
        <v>64.599999999999994</v>
      </c>
      <c r="J353" s="38">
        <v>43199</v>
      </c>
      <c r="K353" s="38"/>
      <c r="L353" s="38">
        <v>110</v>
      </c>
      <c r="M353" s="19" t="s">
        <v>191</v>
      </c>
      <c r="N353" s="38">
        <v>38.9</v>
      </c>
      <c r="O353" s="38"/>
      <c r="P353" s="38">
        <v>30</v>
      </c>
      <c r="Q353" s="17" t="s">
        <v>18</v>
      </c>
      <c r="R353" s="38">
        <v>3300</v>
      </c>
      <c r="S353" s="38">
        <v>7.64</v>
      </c>
      <c r="T353" s="17">
        <v>1.5</v>
      </c>
      <c r="U353" s="2" t="str">
        <f>IF(T353&lt;=1, "1",IF(AND(T353&gt;1,T353&lt;4), "2-3", "+4"))</f>
        <v>2-3</v>
      </c>
      <c r="V353" s="38">
        <f>S353*T353</f>
        <v>11.459999999999999</v>
      </c>
      <c r="W353" s="20" t="s">
        <v>3122</v>
      </c>
      <c r="X353" s="17"/>
    </row>
    <row r="354" spans="1:24" x14ac:dyDescent="0.15">
      <c r="A354" s="2" t="s">
        <v>68</v>
      </c>
      <c r="B354" s="2" t="s">
        <v>3928</v>
      </c>
      <c r="C354" s="2" t="s">
        <v>3478</v>
      </c>
      <c r="D354" s="2" t="s">
        <v>3119</v>
      </c>
      <c r="E354" s="1"/>
      <c r="F354" s="2" t="s">
        <v>379</v>
      </c>
      <c r="G354" s="2">
        <v>23.2</v>
      </c>
      <c r="H354" s="2" t="str">
        <f t="shared" si="11"/>
        <v>W</v>
      </c>
      <c r="I354" s="5">
        <v>65.5</v>
      </c>
      <c r="J354" s="5">
        <v>35100</v>
      </c>
      <c r="K354" s="5"/>
      <c r="L354" s="5">
        <v>100.7</v>
      </c>
      <c r="M354" s="4" t="s">
        <v>191</v>
      </c>
      <c r="N354" s="5">
        <v>37</v>
      </c>
      <c r="O354" s="5"/>
      <c r="P354" s="5">
        <v>29</v>
      </c>
      <c r="Q354" s="2" t="s">
        <v>18</v>
      </c>
      <c r="R354" s="5">
        <v>2600</v>
      </c>
      <c r="S354" s="5">
        <v>7.41</v>
      </c>
      <c r="T354" s="2">
        <v>3</v>
      </c>
      <c r="U354" s="2" t="str">
        <f>IF(T354&lt;=1, "1",IF(AND(T354&gt;1,T354&lt;4), "2-3", "+4"))</f>
        <v>2-3</v>
      </c>
      <c r="V354" s="5">
        <f>S354*T354</f>
        <v>22.23</v>
      </c>
      <c r="W354" s="6" t="s">
        <v>3187</v>
      </c>
    </row>
    <row r="355" spans="1:24" x14ac:dyDescent="0.15">
      <c r="A355" s="2" t="s">
        <v>68</v>
      </c>
      <c r="B355" s="2" t="s">
        <v>3928</v>
      </c>
      <c r="C355" s="2" t="s">
        <v>3478</v>
      </c>
      <c r="D355" s="2" t="s">
        <v>3119</v>
      </c>
      <c r="E355" s="1"/>
      <c r="F355" s="2" t="s">
        <v>3120</v>
      </c>
      <c r="G355" s="2" t="s">
        <v>374</v>
      </c>
      <c r="H355" s="2" t="str">
        <f t="shared" si="11"/>
        <v>C</v>
      </c>
      <c r="I355" s="5">
        <f>54.57/1.06</f>
        <v>51.481132075471699</v>
      </c>
      <c r="J355" s="5">
        <v>24714</v>
      </c>
      <c r="K355" s="7">
        <f>MEDIAN(5,7)</f>
        <v>6</v>
      </c>
      <c r="L355" s="5">
        <v>66.33</v>
      </c>
      <c r="M355" s="4" t="s">
        <v>191</v>
      </c>
      <c r="N355" s="5"/>
      <c r="O355" s="5"/>
      <c r="P355" s="5"/>
      <c r="R355" s="5"/>
      <c r="S355" s="5"/>
      <c r="V355" s="5"/>
      <c r="W355" s="6" t="s">
        <v>3188</v>
      </c>
    </row>
    <row r="356" spans="1:24" x14ac:dyDescent="0.15">
      <c r="A356" s="2" t="s">
        <v>68</v>
      </c>
      <c r="B356" s="2" t="s">
        <v>3928</v>
      </c>
      <c r="C356" s="2" t="s">
        <v>3478</v>
      </c>
      <c r="D356" s="2" t="s">
        <v>872</v>
      </c>
      <c r="E356" s="1"/>
      <c r="F356" s="2" t="s">
        <v>871</v>
      </c>
      <c r="G356" s="2">
        <v>13</v>
      </c>
      <c r="H356" s="2" t="str">
        <f t="shared" si="11"/>
        <v>W</v>
      </c>
      <c r="I356" s="5"/>
      <c r="J356" s="5"/>
      <c r="K356" s="5"/>
      <c r="L356" s="5">
        <v>125.83</v>
      </c>
      <c r="M356" s="4" t="s">
        <v>191</v>
      </c>
      <c r="N356" s="5"/>
      <c r="O356" s="5"/>
      <c r="P356" s="5"/>
      <c r="R356" s="5"/>
      <c r="S356" s="5"/>
      <c r="V356" s="5"/>
      <c r="W356" s="6" t="s">
        <v>3189</v>
      </c>
    </row>
    <row r="357" spans="1:24" x14ac:dyDescent="0.15">
      <c r="A357" s="1" t="s">
        <v>68</v>
      </c>
      <c r="B357" s="2" t="s">
        <v>3928</v>
      </c>
      <c r="C357" s="2" t="s">
        <v>3478</v>
      </c>
      <c r="D357" s="1" t="s">
        <v>872</v>
      </c>
      <c r="E357" s="1"/>
      <c r="F357" s="1" t="s">
        <v>591</v>
      </c>
      <c r="G357" s="1">
        <v>20.58</v>
      </c>
      <c r="H357" s="2" t="str">
        <f t="shared" si="11"/>
        <v>W</v>
      </c>
      <c r="I357" s="8">
        <v>72.64</v>
      </c>
      <c r="J357" s="8">
        <v>41520</v>
      </c>
      <c r="K357" s="8"/>
      <c r="L357" s="8">
        <v>115.99</v>
      </c>
      <c r="M357" s="1" t="s">
        <v>191</v>
      </c>
      <c r="N357" s="8"/>
      <c r="O357" s="8">
        <v>36.777999999999999</v>
      </c>
      <c r="P357" s="8">
        <v>29.49</v>
      </c>
      <c r="Q357" s="1" t="s">
        <v>18</v>
      </c>
      <c r="R357" s="8">
        <v>3420.26</v>
      </c>
      <c r="S357" s="8">
        <v>8.2379999999999995</v>
      </c>
      <c r="T357" s="1">
        <v>1</v>
      </c>
      <c r="U357" s="2" t="str">
        <f>IF(T357&lt;=1, "1",IF(AND(T357&gt;1,T357&lt;4), "2-3", "+4"))</f>
        <v>1</v>
      </c>
      <c r="V357" s="8">
        <v>8.2379999999999995</v>
      </c>
      <c r="W357" s="6" t="s">
        <v>3627</v>
      </c>
    </row>
    <row r="358" spans="1:24" x14ac:dyDescent="0.15">
      <c r="A358" s="2" t="s">
        <v>68</v>
      </c>
      <c r="B358" s="2" t="s">
        <v>3928</v>
      </c>
      <c r="C358" s="2" t="s">
        <v>3478</v>
      </c>
      <c r="D358" s="2" t="s">
        <v>872</v>
      </c>
      <c r="E358" s="1"/>
      <c r="F358" s="2" t="s">
        <v>2936</v>
      </c>
      <c r="G358" s="2">
        <v>15.67</v>
      </c>
      <c r="H358" s="2" t="str">
        <f t="shared" si="11"/>
        <v>W</v>
      </c>
      <c r="I358" s="5">
        <v>62.98</v>
      </c>
      <c r="J358" s="5">
        <v>35450</v>
      </c>
      <c r="K358" s="5"/>
      <c r="L358" s="5"/>
      <c r="M358" s="4" t="s">
        <v>191</v>
      </c>
      <c r="N358" s="5"/>
      <c r="O358" s="5"/>
      <c r="P358" s="5"/>
      <c r="R358" s="5"/>
      <c r="S358" s="5"/>
      <c r="V358" s="5"/>
      <c r="W358" s="6" t="s">
        <v>2962</v>
      </c>
    </row>
    <row r="359" spans="1:24" x14ac:dyDescent="0.15">
      <c r="A359" s="2" t="s">
        <v>68</v>
      </c>
      <c r="B359" s="2" t="s">
        <v>3928</v>
      </c>
      <c r="C359" s="2" t="s">
        <v>3478</v>
      </c>
      <c r="D359" s="2" t="s">
        <v>872</v>
      </c>
      <c r="E359" s="1"/>
      <c r="F359" s="2" t="s">
        <v>217</v>
      </c>
      <c r="H359" s="2" t="s">
        <v>3887</v>
      </c>
      <c r="I359" s="5"/>
      <c r="J359" s="5"/>
      <c r="K359" s="5"/>
      <c r="L359" s="5">
        <f>MEDIAN(60,169)</f>
        <v>114.5</v>
      </c>
      <c r="M359" s="4" t="s">
        <v>191</v>
      </c>
      <c r="N359" s="5">
        <v>40</v>
      </c>
      <c r="O359" s="5">
        <v>40</v>
      </c>
      <c r="P359" s="5"/>
      <c r="R359" s="5"/>
      <c r="S359" s="5"/>
      <c r="T359" s="2" t="s">
        <v>122</v>
      </c>
      <c r="V359" s="5"/>
      <c r="W359" s="6" t="s">
        <v>2448</v>
      </c>
    </row>
    <row r="360" spans="1:24" x14ac:dyDescent="0.15">
      <c r="A360" s="2" t="s">
        <v>68</v>
      </c>
      <c r="B360" s="2" t="s">
        <v>3928</v>
      </c>
      <c r="C360" s="2" t="s">
        <v>3478</v>
      </c>
      <c r="D360" s="2" t="s">
        <v>872</v>
      </c>
      <c r="E360" s="1"/>
      <c r="F360" s="2" t="s">
        <v>873</v>
      </c>
      <c r="G360" s="2">
        <v>17</v>
      </c>
      <c r="H360" s="2" t="str">
        <f t="shared" si="11"/>
        <v>W</v>
      </c>
      <c r="I360" s="5">
        <v>63.3</v>
      </c>
      <c r="J360" s="5">
        <f xml:space="preserve"> 18.9603*I360^1.784</f>
        <v>31013.403056530275</v>
      </c>
      <c r="K360" s="5"/>
      <c r="L360" s="5">
        <v>108.1</v>
      </c>
      <c r="M360" s="2" t="s">
        <v>191</v>
      </c>
      <c r="N360" s="5">
        <v>38.9</v>
      </c>
      <c r="O360" s="5">
        <v>38.9</v>
      </c>
      <c r="P360" s="5">
        <v>36.625</v>
      </c>
      <c r="Q360" s="2" t="s">
        <v>18</v>
      </c>
      <c r="R360" s="5">
        <f>P360*L360</f>
        <v>3959.1624999999999</v>
      </c>
      <c r="S360" s="5">
        <f>(R360/J360)*100</f>
        <v>12.765972482230861</v>
      </c>
      <c r="T360" s="7">
        <f>MEDIAN(3,4)</f>
        <v>3.5</v>
      </c>
      <c r="U360" s="2" t="str">
        <f>IF(T360&lt;=1, "1",IF(AND(T360&gt;1,T360&lt;4), "2-3", "+4"))</f>
        <v>2-3</v>
      </c>
      <c r="V360" s="5">
        <v>35.28</v>
      </c>
      <c r="W360" s="6" t="s">
        <v>3460</v>
      </c>
    </row>
    <row r="361" spans="1:24" x14ac:dyDescent="0.15">
      <c r="A361" s="2" t="s">
        <v>68</v>
      </c>
      <c r="B361" s="2" t="s">
        <v>3928</v>
      </c>
      <c r="C361" s="2" t="s">
        <v>3478</v>
      </c>
      <c r="D361" s="2" t="s">
        <v>872</v>
      </c>
      <c r="E361" s="1"/>
      <c r="F361" s="2" t="s">
        <v>3261</v>
      </c>
      <c r="G361" s="2">
        <v>11.26</v>
      </c>
      <c r="H361" s="2" t="str">
        <f t="shared" si="11"/>
        <v>W</v>
      </c>
      <c r="I361" s="5"/>
      <c r="J361" s="5"/>
      <c r="K361" s="5"/>
      <c r="L361" s="5">
        <v>145</v>
      </c>
      <c r="M361" s="2" t="s">
        <v>191</v>
      </c>
      <c r="N361" s="5">
        <v>31.4</v>
      </c>
      <c r="O361" s="5">
        <v>31.4</v>
      </c>
      <c r="P361" s="5">
        <v>35.9</v>
      </c>
      <c r="Q361" s="2" t="s">
        <v>18</v>
      </c>
      <c r="R361" s="5">
        <f>P361*L361</f>
        <v>5205.5</v>
      </c>
      <c r="S361" s="5"/>
      <c r="T361" s="2">
        <v>3</v>
      </c>
      <c r="U361" s="2" t="str">
        <f>IF(T361&lt;=1, "1",IF(AND(T361&gt;1,T361&lt;4), "2-3", "+4"))</f>
        <v>2-3</v>
      </c>
      <c r="V361" s="5"/>
      <c r="W361" s="6" t="s">
        <v>3265</v>
      </c>
    </row>
    <row r="362" spans="1:24" x14ac:dyDescent="0.15">
      <c r="A362" s="2" t="s">
        <v>68</v>
      </c>
      <c r="B362" s="2" t="s">
        <v>3928</v>
      </c>
      <c r="C362" s="2" t="s">
        <v>3478</v>
      </c>
      <c r="D362" s="2" t="s">
        <v>872</v>
      </c>
      <c r="E362" s="1"/>
      <c r="F362" s="2" t="s">
        <v>3150</v>
      </c>
      <c r="H362" s="2" t="s">
        <v>3887</v>
      </c>
      <c r="I362" s="5"/>
      <c r="J362" s="5"/>
      <c r="K362" s="5">
        <v>16</v>
      </c>
      <c r="L362" s="5"/>
      <c r="M362" s="2" t="s">
        <v>191</v>
      </c>
      <c r="N362" s="5"/>
      <c r="O362" s="5"/>
      <c r="P362" s="5"/>
      <c r="R362" s="5"/>
      <c r="S362" s="5"/>
      <c r="V362" s="5"/>
      <c r="W362" s="6" t="s">
        <v>3190</v>
      </c>
    </row>
    <row r="363" spans="1:24" x14ac:dyDescent="0.15">
      <c r="A363" s="2" t="s">
        <v>68</v>
      </c>
      <c r="B363" s="2" t="s">
        <v>3928</v>
      </c>
      <c r="C363" s="2" t="s">
        <v>3478</v>
      </c>
      <c r="D363" s="2" t="s">
        <v>872</v>
      </c>
      <c r="E363" s="1"/>
      <c r="F363" s="2" t="s">
        <v>3377</v>
      </c>
      <c r="G363" s="2">
        <v>5.8</v>
      </c>
      <c r="H363" s="2" t="str">
        <f t="shared" si="11"/>
        <v>W</v>
      </c>
      <c r="I363" s="5">
        <v>68.5</v>
      </c>
      <c r="J363" s="5">
        <f xml:space="preserve"> 18.9603*I363^1.784</f>
        <v>35704.02551893732</v>
      </c>
      <c r="K363" s="5"/>
      <c r="L363" s="5">
        <v>116</v>
      </c>
      <c r="M363" s="2" t="s">
        <v>191</v>
      </c>
      <c r="N363" s="5">
        <v>40</v>
      </c>
      <c r="O363" s="5">
        <v>40</v>
      </c>
      <c r="P363" s="5"/>
      <c r="Q363" s="2" t="s">
        <v>18</v>
      </c>
      <c r="R363" s="5"/>
      <c r="S363" s="5"/>
      <c r="T363" s="2">
        <v>1.5</v>
      </c>
      <c r="U363" s="2" t="str">
        <f>IF(T363&lt;=1, "1",IF(AND(T363&gt;1,T363&lt;4), "2-3", "+4"))</f>
        <v>2-3</v>
      </c>
      <c r="V363" s="5"/>
      <c r="W363" s="6" t="s">
        <v>3453</v>
      </c>
    </row>
    <row r="364" spans="1:24" x14ac:dyDescent="0.15">
      <c r="A364" s="17" t="s">
        <v>68</v>
      </c>
      <c r="B364" s="17" t="s">
        <v>3928</v>
      </c>
      <c r="C364" s="17" t="s">
        <v>3478</v>
      </c>
      <c r="D364" s="17" t="s">
        <v>872</v>
      </c>
      <c r="E364" s="18"/>
      <c r="F364" s="17" t="s">
        <v>3121</v>
      </c>
      <c r="G364" s="17" t="s">
        <v>3121</v>
      </c>
      <c r="H364" s="17" t="str">
        <f t="shared" si="11"/>
        <v>W</v>
      </c>
      <c r="I364" s="38">
        <v>66.03</v>
      </c>
      <c r="J364" s="38">
        <v>33440</v>
      </c>
      <c r="K364" s="38"/>
      <c r="L364" s="38">
        <v>109.9</v>
      </c>
      <c r="M364" s="17" t="s">
        <v>191</v>
      </c>
      <c r="N364" s="38">
        <v>39.270000000000003</v>
      </c>
      <c r="O364" s="38"/>
      <c r="P364" s="38">
        <v>35.700000000000003</v>
      </c>
      <c r="Q364" s="17" t="s">
        <v>18</v>
      </c>
      <c r="R364" s="38">
        <v>3923.4</v>
      </c>
      <c r="S364" s="38">
        <v>11.73</v>
      </c>
      <c r="T364" s="17">
        <v>2.21</v>
      </c>
      <c r="U364" s="17"/>
      <c r="V364" s="38">
        <f>S364*T364</f>
        <v>25.923300000000001</v>
      </c>
      <c r="W364" s="20" t="s">
        <v>3132</v>
      </c>
      <c r="X364" s="17"/>
    </row>
    <row r="365" spans="1:24" x14ac:dyDescent="0.15">
      <c r="A365" s="2" t="s">
        <v>68</v>
      </c>
      <c r="B365" s="2" t="s">
        <v>3928</v>
      </c>
      <c r="C365" s="2" t="s">
        <v>3478</v>
      </c>
      <c r="D365" s="2" t="s">
        <v>872</v>
      </c>
      <c r="E365" s="1"/>
      <c r="F365" s="2" t="s">
        <v>1925</v>
      </c>
      <c r="G365" s="2">
        <v>19.899999999999999</v>
      </c>
      <c r="H365" s="2" t="str">
        <f t="shared" si="11"/>
        <v>W</v>
      </c>
      <c r="I365" s="5"/>
      <c r="J365" s="5"/>
      <c r="K365" s="5">
        <v>13</v>
      </c>
      <c r="L365" s="5"/>
      <c r="M365" s="2" t="s">
        <v>191</v>
      </c>
      <c r="N365" s="5"/>
      <c r="O365" s="5"/>
      <c r="P365" s="5"/>
      <c r="R365" s="5"/>
      <c r="S365" s="5"/>
      <c r="V365" s="5"/>
      <c r="W365" s="6" t="s">
        <v>3191</v>
      </c>
    </row>
    <row r="366" spans="1:24" x14ac:dyDescent="0.15">
      <c r="A366" s="2" t="s">
        <v>68</v>
      </c>
      <c r="B366" s="2" t="s">
        <v>3929</v>
      </c>
      <c r="C366" s="2" t="s">
        <v>3479</v>
      </c>
      <c r="D366" s="2" t="s">
        <v>692</v>
      </c>
      <c r="E366" s="1"/>
      <c r="F366" s="2" t="s">
        <v>59</v>
      </c>
      <c r="G366" s="2">
        <v>-25</v>
      </c>
      <c r="H366" s="2" t="str">
        <f t="shared" si="11"/>
        <v>W</v>
      </c>
      <c r="I366" s="5">
        <f>(92.3+4.5)/1.11</f>
        <v>87.20720720720719</v>
      </c>
      <c r="J366" s="5">
        <v>74400</v>
      </c>
      <c r="K366" s="5"/>
      <c r="L366" s="5">
        <v>50.2</v>
      </c>
      <c r="M366" s="4" t="s">
        <v>191</v>
      </c>
      <c r="N366" s="5">
        <v>52.1</v>
      </c>
      <c r="O366" s="5">
        <v>52.1</v>
      </c>
      <c r="P366" s="5">
        <v>77.8</v>
      </c>
      <c r="Q366" s="2" t="s">
        <v>18</v>
      </c>
      <c r="R366" s="5">
        <v>3905.56</v>
      </c>
      <c r="S366" s="5">
        <f>(R366/J366)*100</f>
        <v>5.2494086021505373</v>
      </c>
      <c r="T366" s="2" t="s">
        <v>399</v>
      </c>
      <c r="V366" s="5"/>
      <c r="W366" s="6" t="s">
        <v>2331</v>
      </c>
    </row>
    <row r="367" spans="1:24" x14ac:dyDescent="0.15">
      <c r="A367" s="2" t="s">
        <v>68</v>
      </c>
      <c r="B367" s="2" t="s">
        <v>3929</v>
      </c>
      <c r="C367" s="2" t="s">
        <v>3479</v>
      </c>
      <c r="D367" s="2" t="s">
        <v>692</v>
      </c>
      <c r="E367" s="1"/>
      <c r="F367" s="2" t="s">
        <v>59</v>
      </c>
      <c r="G367" s="2">
        <v>-24.87</v>
      </c>
      <c r="H367" s="2" t="str">
        <f t="shared" si="11"/>
        <v>W</v>
      </c>
      <c r="I367" s="5"/>
      <c r="J367" s="5"/>
      <c r="K367" s="5"/>
      <c r="L367" s="5"/>
      <c r="M367" s="4" t="s">
        <v>191</v>
      </c>
      <c r="N367" s="5"/>
      <c r="O367" s="5"/>
      <c r="P367" s="5"/>
      <c r="R367" s="5"/>
      <c r="S367" s="5"/>
      <c r="T367" s="2">
        <v>2.84</v>
      </c>
      <c r="U367" s="2" t="str">
        <f>IF(T367&lt;=1, "1",IF(AND(T367&gt;1,T367&lt;4), "2-3", "+4"))</f>
        <v>2-3</v>
      </c>
      <c r="V367" s="5"/>
      <c r="W367" s="6" t="s">
        <v>2963</v>
      </c>
    </row>
    <row r="368" spans="1:24" x14ac:dyDescent="0.15">
      <c r="A368" s="2" t="s">
        <v>68</v>
      </c>
      <c r="B368" s="2" t="s">
        <v>3929</v>
      </c>
      <c r="C368" s="2" t="s">
        <v>3479</v>
      </c>
      <c r="D368" s="2" t="s">
        <v>692</v>
      </c>
      <c r="E368" s="1"/>
      <c r="F368" s="2" t="s">
        <v>59</v>
      </c>
      <c r="G368" s="2">
        <v>-23.44</v>
      </c>
      <c r="H368" s="2" t="str">
        <f t="shared" si="11"/>
        <v>W</v>
      </c>
      <c r="I368" s="5"/>
      <c r="J368" s="5"/>
      <c r="K368" s="5"/>
      <c r="L368" s="5">
        <v>53.35</v>
      </c>
      <c r="M368" s="4" t="s">
        <v>191</v>
      </c>
      <c r="N368" s="5"/>
      <c r="O368" s="5"/>
      <c r="P368" s="5"/>
      <c r="R368" s="5"/>
      <c r="S368" s="5"/>
      <c r="T368" s="2">
        <v>2.84</v>
      </c>
      <c r="U368" s="2" t="str">
        <f>IF(T368&lt;=1, "1",IF(AND(T368&gt;1,T368&lt;4), "2-3", "+4"))</f>
        <v>2-3</v>
      </c>
      <c r="V368" s="5"/>
      <c r="W368" s="6" t="s">
        <v>2330</v>
      </c>
    </row>
    <row r="369" spans="1:24" x14ac:dyDescent="0.15">
      <c r="A369" s="2" t="s">
        <v>68</v>
      </c>
      <c r="B369" s="2" t="s">
        <v>3929</v>
      </c>
      <c r="C369" s="2" t="s">
        <v>3479</v>
      </c>
      <c r="D369" s="2" t="s">
        <v>692</v>
      </c>
      <c r="E369" s="1"/>
      <c r="F369" s="2" t="s">
        <v>59</v>
      </c>
      <c r="G369" s="2">
        <v>-12.11</v>
      </c>
      <c r="H369" s="2" t="str">
        <f t="shared" si="11"/>
        <v>W</v>
      </c>
      <c r="I369" s="5">
        <f>(86.3+4.5)/1.11</f>
        <v>81.801801801801787</v>
      </c>
      <c r="J369" s="5">
        <v>67400</v>
      </c>
      <c r="K369" s="5"/>
      <c r="L369" s="5">
        <v>52.4</v>
      </c>
      <c r="M369" s="2" t="s">
        <v>191</v>
      </c>
      <c r="N369" s="5"/>
      <c r="O369" s="5"/>
      <c r="P369" s="5"/>
      <c r="R369" s="5"/>
      <c r="S369" s="5"/>
      <c r="V369" s="5"/>
      <c r="W369" s="6" t="s">
        <v>3397</v>
      </c>
    </row>
    <row r="370" spans="1:24" ht="12.75" customHeight="1" x14ac:dyDescent="0.15">
      <c r="A370" s="17" t="s">
        <v>68</v>
      </c>
      <c r="B370" s="17" t="s">
        <v>3929</v>
      </c>
      <c r="C370" s="17" t="s">
        <v>3479</v>
      </c>
      <c r="D370" s="17" t="s">
        <v>692</v>
      </c>
      <c r="E370" s="18"/>
      <c r="F370" s="17" t="s">
        <v>3121</v>
      </c>
      <c r="G370" s="17" t="s">
        <v>3121</v>
      </c>
      <c r="H370" s="17" t="str">
        <f t="shared" si="11"/>
        <v>W</v>
      </c>
      <c r="I370" s="38">
        <v>91.72</v>
      </c>
      <c r="J370" s="38">
        <v>108337</v>
      </c>
      <c r="K370" s="38"/>
      <c r="L370" s="38">
        <v>52.8</v>
      </c>
      <c r="M370" s="19" t="s">
        <v>191</v>
      </c>
      <c r="N370" s="38">
        <v>51.48</v>
      </c>
      <c r="O370" s="38"/>
      <c r="P370" s="38">
        <v>71.7</v>
      </c>
      <c r="Q370" s="17" t="s">
        <v>18</v>
      </c>
      <c r="R370" s="38">
        <v>3785.8</v>
      </c>
      <c r="S370" s="38">
        <v>3.49</v>
      </c>
      <c r="T370" s="17">
        <v>2.84</v>
      </c>
      <c r="U370" s="2" t="str">
        <f>IF(T370&lt;=1, "1",IF(AND(T370&gt;1,T370&lt;4), "2-3", "+4"))</f>
        <v>2-3</v>
      </c>
      <c r="V370" s="38">
        <f>S370*T370</f>
        <v>9.9116</v>
      </c>
      <c r="W370" s="20" t="s">
        <v>3132</v>
      </c>
      <c r="X370" s="17"/>
    </row>
    <row r="371" spans="1:24" x14ac:dyDescent="0.15">
      <c r="A371" s="2" t="s">
        <v>75</v>
      </c>
      <c r="B371" s="1"/>
      <c r="C371" s="2" t="s">
        <v>918</v>
      </c>
      <c r="D371" s="2" t="s">
        <v>693</v>
      </c>
      <c r="E371" s="1"/>
      <c r="F371" s="2" t="s">
        <v>219</v>
      </c>
      <c r="G371" s="2">
        <v>4.5</v>
      </c>
      <c r="H371" s="2" t="str">
        <f t="shared" si="11"/>
        <v>W</v>
      </c>
      <c r="I371" s="5">
        <v>27.67</v>
      </c>
      <c r="J371" s="5">
        <v>5650</v>
      </c>
      <c r="K371" s="5"/>
      <c r="L371" s="5"/>
      <c r="M371" s="4" t="s">
        <v>47</v>
      </c>
      <c r="N371" s="5"/>
      <c r="O371" s="5"/>
      <c r="P371" s="5"/>
      <c r="R371" s="5"/>
      <c r="S371" s="5"/>
      <c r="V371" s="5"/>
      <c r="W371" s="6" t="s">
        <v>2332</v>
      </c>
    </row>
    <row r="372" spans="1:24" x14ac:dyDescent="0.15">
      <c r="A372" s="1" t="s">
        <v>75</v>
      </c>
      <c r="B372" s="1"/>
      <c r="C372" s="1" t="s">
        <v>918</v>
      </c>
      <c r="D372" s="1" t="s">
        <v>693</v>
      </c>
      <c r="E372" s="1"/>
      <c r="F372" s="1" t="s">
        <v>3890</v>
      </c>
      <c r="G372" s="1">
        <v>10.5</v>
      </c>
      <c r="H372" s="1" t="s">
        <v>3887</v>
      </c>
      <c r="I372" s="8">
        <v>35</v>
      </c>
      <c r="J372" s="8">
        <v>10752</v>
      </c>
      <c r="K372" s="8"/>
      <c r="L372" s="8">
        <v>35.200000000000003</v>
      </c>
      <c r="M372" s="1" t="s">
        <v>47</v>
      </c>
      <c r="N372" s="8">
        <v>35.4</v>
      </c>
      <c r="O372" s="8">
        <v>34.299999999999997</v>
      </c>
      <c r="P372" s="8">
        <v>20.350000000000001</v>
      </c>
      <c r="Q372" s="1" t="s">
        <v>18</v>
      </c>
      <c r="R372" s="8">
        <v>716.3</v>
      </c>
      <c r="S372" s="8">
        <v>6.66</v>
      </c>
      <c r="T372" s="1"/>
      <c r="U372" s="1"/>
      <c r="V372" s="8"/>
      <c r="W372" s="6" t="s">
        <v>3891</v>
      </c>
    </row>
    <row r="373" spans="1:24" x14ac:dyDescent="0.15">
      <c r="A373" s="2" t="s">
        <v>75</v>
      </c>
      <c r="B373" s="1"/>
      <c r="C373" s="2" t="s">
        <v>918</v>
      </c>
      <c r="D373" s="2" t="s">
        <v>693</v>
      </c>
      <c r="E373" s="1"/>
      <c r="F373" s="2" t="s">
        <v>219</v>
      </c>
      <c r="G373" s="2">
        <v>8</v>
      </c>
      <c r="H373" s="2" t="str">
        <f t="shared" ref="H373:H388" si="12">IF(G373="captive","C","W")</f>
        <v>W</v>
      </c>
      <c r="I373" s="5">
        <v>30.3</v>
      </c>
      <c r="J373" s="5">
        <v>6609</v>
      </c>
      <c r="K373" s="5"/>
      <c r="L373" s="5">
        <v>27</v>
      </c>
      <c r="M373" s="4" t="s">
        <v>47</v>
      </c>
      <c r="N373" s="5">
        <v>36.33</v>
      </c>
      <c r="O373" s="5">
        <v>33</v>
      </c>
      <c r="P373" s="5">
        <v>22.65</v>
      </c>
      <c r="Q373" s="2" t="s">
        <v>376</v>
      </c>
      <c r="R373" s="5">
        <v>611.54</v>
      </c>
      <c r="S373" s="5">
        <v>9.25</v>
      </c>
      <c r="V373" s="5"/>
      <c r="W373" s="6" t="s">
        <v>2333</v>
      </c>
    </row>
    <row r="374" spans="1:24" x14ac:dyDescent="0.15">
      <c r="A374" s="2" t="s">
        <v>75</v>
      </c>
      <c r="B374" s="1"/>
      <c r="C374" s="2" t="s">
        <v>918</v>
      </c>
      <c r="D374" s="2" t="s">
        <v>693</v>
      </c>
      <c r="E374" s="1"/>
      <c r="F374" s="2" t="s">
        <v>73</v>
      </c>
      <c r="G374" s="2">
        <v>10.54</v>
      </c>
      <c r="H374" s="2" t="str">
        <f t="shared" si="12"/>
        <v>W</v>
      </c>
      <c r="I374" s="5"/>
      <c r="J374" s="5"/>
      <c r="K374" s="5"/>
      <c r="L374" s="5">
        <v>35.200000000000003</v>
      </c>
      <c r="M374" s="4" t="s">
        <v>47</v>
      </c>
      <c r="N374" s="5"/>
      <c r="O374" s="5"/>
      <c r="P374" s="5"/>
      <c r="R374" s="5"/>
      <c r="S374" s="5"/>
      <c r="W374" s="6" t="s">
        <v>3306</v>
      </c>
    </row>
    <row r="375" spans="1:24" x14ac:dyDescent="0.15">
      <c r="A375" s="2" t="s">
        <v>75</v>
      </c>
      <c r="B375" s="1"/>
      <c r="C375" s="2" t="s">
        <v>918</v>
      </c>
      <c r="D375" s="2" t="s">
        <v>693</v>
      </c>
      <c r="E375" s="1"/>
      <c r="F375" s="2" t="s">
        <v>853</v>
      </c>
      <c r="H375" s="2" t="s">
        <v>3887</v>
      </c>
      <c r="I375" s="5"/>
      <c r="J375" s="5"/>
      <c r="K375" s="5"/>
      <c r="L375" s="5">
        <v>25</v>
      </c>
      <c r="M375" s="4" t="s">
        <v>47</v>
      </c>
      <c r="N375" s="5">
        <v>37</v>
      </c>
      <c r="O375" s="5">
        <v>37</v>
      </c>
      <c r="P375" s="5">
        <f xml:space="preserve"> 0.843*N375 + 1.376*O375- 53.387</f>
        <v>28.715999999999994</v>
      </c>
      <c r="Q375" s="2" t="s">
        <v>376</v>
      </c>
      <c r="R375" s="5">
        <f>P375*L375</f>
        <v>717.89999999999986</v>
      </c>
      <c r="S375" s="5"/>
      <c r="W375" s="6" t="s">
        <v>2165</v>
      </c>
    </row>
    <row r="376" spans="1:24" x14ac:dyDescent="0.15">
      <c r="A376" s="2" t="s">
        <v>75</v>
      </c>
      <c r="B376" s="1"/>
      <c r="C376" s="2" t="s">
        <v>918</v>
      </c>
      <c r="D376" s="2" t="s">
        <v>576</v>
      </c>
      <c r="E376" s="1"/>
      <c r="F376" s="2" t="s">
        <v>73</v>
      </c>
      <c r="G376" s="2">
        <v>10.06</v>
      </c>
      <c r="H376" s="2" t="str">
        <f t="shared" si="12"/>
        <v>W</v>
      </c>
      <c r="I376" s="5"/>
      <c r="J376" s="5"/>
      <c r="K376" s="5"/>
      <c r="L376" s="5">
        <v>27.67</v>
      </c>
      <c r="M376" s="4" t="s">
        <v>47</v>
      </c>
      <c r="N376" s="5"/>
      <c r="O376" s="5"/>
      <c r="P376" s="5"/>
      <c r="R376" s="5"/>
      <c r="S376" s="5"/>
      <c r="W376" s="6" t="s">
        <v>2964</v>
      </c>
    </row>
    <row r="377" spans="1:24" x14ac:dyDescent="0.15">
      <c r="A377" s="2" t="s">
        <v>75</v>
      </c>
      <c r="B377" s="1"/>
      <c r="C377" s="2" t="s">
        <v>918</v>
      </c>
      <c r="D377" s="2" t="s">
        <v>576</v>
      </c>
      <c r="E377" s="1"/>
      <c r="F377" s="2" t="s">
        <v>379</v>
      </c>
      <c r="H377" s="2" t="s">
        <v>3887</v>
      </c>
      <c r="I377" s="5"/>
      <c r="J377" s="5"/>
      <c r="K377" s="5"/>
      <c r="L377" s="5">
        <v>38</v>
      </c>
      <c r="M377" s="4" t="s">
        <v>47</v>
      </c>
      <c r="N377" s="5">
        <v>29.7</v>
      </c>
      <c r="O377" s="5">
        <v>29.7</v>
      </c>
      <c r="P377" s="5">
        <v>14.4</v>
      </c>
      <c r="Q377" s="2" t="s">
        <v>18</v>
      </c>
      <c r="R377" s="5">
        <v>547.20000000000005</v>
      </c>
      <c r="S377" s="5"/>
      <c r="T377" s="2">
        <v>1</v>
      </c>
      <c r="U377" s="2" t="str">
        <f>IF(T377&lt;=1, "1",IF(AND(T377&gt;1,T377&lt;4), "2-3", "+4"))</f>
        <v>1</v>
      </c>
      <c r="W377" s="6" t="s">
        <v>2213</v>
      </c>
    </row>
    <row r="378" spans="1:24" x14ac:dyDescent="0.15">
      <c r="A378" s="2" t="s">
        <v>75</v>
      </c>
      <c r="B378" s="1"/>
      <c r="C378" s="2" t="s">
        <v>918</v>
      </c>
      <c r="D378" s="2" t="s">
        <v>695</v>
      </c>
      <c r="E378" s="1"/>
      <c r="F378" s="2" t="s">
        <v>81</v>
      </c>
      <c r="G378" s="2">
        <v>30.44</v>
      </c>
      <c r="H378" s="2" t="str">
        <f t="shared" si="12"/>
        <v>W</v>
      </c>
      <c r="I378" s="5">
        <f>AVERAGE(225,285,387)/10</f>
        <v>29.9</v>
      </c>
      <c r="J378" s="5">
        <f>AVERAGE(1920,4850,9750)</f>
        <v>5506.666666666667</v>
      </c>
      <c r="K378" s="5"/>
      <c r="L378" s="5">
        <f>AVERAGE(5,34,49)</f>
        <v>29.333333333333332</v>
      </c>
      <c r="M378" s="4" t="s">
        <v>47</v>
      </c>
      <c r="N378" s="5"/>
      <c r="O378" s="5"/>
      <c r="P378" s="5"/>
      <c r="R378" s="5"/>
      <c r="S378" s="5"/>
      <c r="W378" s="6" t="s">
        <v>1780</v>
      </c>
    </row>
    <row r="379" spans="1:24" x14ac:dyDescent="0.15">
      <c r="A379" s="2" t="s">
        <v>75</v>
      </c>
      <c r="B379" s="1"/>
      <c r="C379" s="2" t="s">
        <v>918</v>
      </c>
      <c r="D379" s="2" t="s">
        <v>695</v>
      </c>
      <c r="E379" s="1"/>
      <c r="F379" s="2" t="s">
        <v>106</v>
      </c>
      <c r="G379" s="2">
        <v>42.51</v>
      </c>
      <c r="H379" s="2" t="str">
        <f t="shared" si="12"/>
        <v>W</v>
      </c>
      <c r="I379" s="5"/>
      <c r="J379" s="5"/>
      <c r="K379" s="5"/>
      <c r="L379" s="5">
        <v>47.4</v>
      </c>
      <c r="M379" s="4" t="s">
        <v>47</v>
      </c>
      <c r="N379" s="5"/>
      <c r="O379" s="5"/>
      <c r="P379" s="5"/>
      <c r="R379" s="5"/>
      <c r="S379" s="5"/>
      <c r="W379" s="6" t="s">
        <v>2965</v>
      </c>
    </row>
    <row r="380" spans="1:24" x14ac:dyDescent="0.15">
      <c r="A380" s="2" t="s">
        <v>75</v>
      </c>
      <c r="B380" s="1"/>
      <c r="C380" s="2" t="s">
        <v>918</v>
      </c>
      <c r="D380" s="2" t="s">
        <v>695</v>
      </c>
      <c r="E380" s="1"/>
      <c r="F380" s="2" t="s">
        <v>2937</v>
      </c>
      <c r="G380" s="2" t="s">
        <v>2938</v>
      </c>
      <c r="H380" s="2" t="str">
        <f t="shared" si="12"/>
        <v>W</v>
      </c>
      <c r="I380" s="5"/>
      <c r="J380" s="5"/>
      <c r="K380" s="5"/>
      <c r="L380" s="5">
        <v>67.400000000000006</v>
      </c>
      <c r="M380" s="4" t="s">
        <v>47</v>
      </c>
      <c r="N380" s="5"/>
      <c r="O380" s="5"/>
      <c r="P380" s="5"/>
      <c r="R380" s="5"/>
      <c r="S380" s="5"/>
      <c r="W380" s="6" t="s">
        <v>2965</v>
      </c>
    </row>
    <row r="381" spans="1:24" x14ac:dyDescent="0.15">
      <c r="A381" s="2" t="s">
        <v>75</v>
      </c>
      <c r="B381" s="1"/>
      <c r="C381" s="2" t="s">
        <v>918</v>
      </c>
      <c r="D381" s="2" t="s">
        <v>695</v>
      </c>
      <c r="E381" s="1"/>
      <c r="F381" s="2" t="s">
        <v>2265</v>
      </c>
      <c r="G381" s="2">
        <v>45.58</v>
      </c>
      <c r="H381" s="2" t="str">
        <f t="shared" si="12"/>
        <v>W</v>
      </c>
      <c r="I381" s="5">
        <v>28.4</v>
      </c>
      <c r="J381" s="5">
        <v>5170</v>
      </c>
      <c r="K381" s="5"/>
      <c r="L381" s="5">
        <v>34</v>
      </c>
      <c r="M381" s="4" t="s">
        <v>47</v>
      </c>
      <c r="N381" s="5"/>
      <c r="O381" s="5"/>
      <c r="P381" s="5">
        <v>11.6</v>
      </c>
      <c r="Q381" s="2" t="s">
        <v>18</v>
      </c>
      <c r="R381" s="5">
        <v>394.4</v>
      </c>
      <c r="S381" s="5">
        <v>7.63</v>
      </c>
      <c r="W381" s="6" t="s">
        <v>2966</v>
      </c>
    </row>
    <row r="382" spans="1:24" x14ac:dyDescent="0.15">
      <c r="A382" s="2" t="s">
        <v>75</v>
      </c>
      <c r="B382" s="1"/>
      <c r="C382" s="2" t="s">
        <v>918</v>
      </c>
      <c r="D382" s="2" t="s">
        <v>695</v>
      </c>
      <c r="E382" s="1"/>
      <c r="F382" s="2" t="s">
        <v>2265</v>
      </c>
      <c r="G382" s="2">
        <v>43.28</v>
      </c>
      <c r="H382" s="2" t="str">
        <f t="shared" si="12"/>
        <v>W</v>
      </c>
      <c r="I382" s="5">
        <v>28.4</v>
      </c>
      <c r="J382" s="5">
        <v>5840</v>
      </c>
      <c r="K382" s="5"/>
      <c r="L382" s="5">
        <v>48.1</v>
      </c>
      <c r="M382" s="4" t="s">
        <v>47</v>
      </c>
      <c r="N382" s="5"/>
      <c r="O382" s="5"/>
      <c r="P382" s="5">
        <v>10.4</v>
      </c>
      <c r="Q382" s="2" t="s">
        <v>18</v>
      </c>
      <c r="R382" s="5">
        <v>500.2</v>
      </c>
      <c r="S382" s="5">
        <v>9.6999999999999993</v>
      </c>
      <c r="W382" s="6" t="s">
        <v>2966</v>
      </c>
    </row>
    <row r="383" spans="1:24" x14ac:dyDescent="0.15">
      <c r="A383" s="2" t="s">
        <v>75</v>
      </c>
      <c r="B383" s="1"/>
      <c r="C383" s="2" t="s">
        <v>918</v>
      </c>
      <c r="D383" s="2" t="s">
        <v>695</v>
      </c>
      <c r="E383" s="1"/>
      <c r="F383" s="2" t="s">
        <v>2265</v>
      </c>
      <c r="G383" s="2">
        <v>45.58</v>
      </c>
      <c r="H383" s="2" t="str">
        <f t="shared" si="12"/>
        <v>W</v>
      </c>
      <c r="I383" s="5">
        <v>28.3</v>
      </c>
      <c r="J383" s="5">
        <v>5157</v>
      </c>
      <c r="K383" s="5"/>
      <c r="L383" s="5">
        <v>33</v>
      </c>
      <c r="M383" s="4" t="s">
        <v>47</v>
      </c>
      <c r="N383" s="5">
        <v>28.91</v>
      </c>
      <c r="O383" s="5">
        <v>27.99</v>
      </c>
      <c r="P383" s="5">
        <v>12.79</v>
      </c>
      <c r="Q383" s="2" t="s">
        <v>18</v>
      </c>
      <c r="R383" s="5">
        <v>422.2</v>
      </c>
      <c r="S383" s="5">
        <v>8.19</v>
      </c>
      <c r="W383" s="6" t="s">
        <v>1782</v>
      </c>
    </row>
    <row r="384" spans="1:24" x14ac:dyDescent="0.15">
      <c r="A384" s="2" t="s">
        <v>75</v>
      </c>
      <c r="B384" s="1"/>
      <c r="C384" s="2" t="s">
        <v>918</v>
      </c>
      <c r="D384" s="2" t="s">
        <v>695</v>
      </c>
      <c r="E384" s="1"/>
      <c r="F384" s="2" t="s">
        <v>2265</v>
      </c>
      <c r="G384" s="2">
        <v>43.28</v>
      </c>
      <c r="H384" s="2" t="str">
        <f t="shared" si="12"/>
        <v>W</v>
      </c>
      <c r="I384" s="5">
        <v>26.8</v>
      </c>
      <c r="J384" s="5">
        <v>4364</v>
      </c>
      <c r="K384" s="5"/>
      <c r="L384" s="5">
        <v>41.5</v>
      </c>
      <c r="M384" s="4" t="s">
        <v>47</v>
      </c>
      <c r="N384" s="5">
        <v>27.03</v>
      </c>
      <c r="O384" s="5">
        <v>26.28</v>
      </c>
      <c r="P384" s="5">
        <v>10.74</v>
      </c>
      <c r="Q384" s="2" t="s">
        <v>18</v>
      </c>
      <c r="R384" s="5">
        <v>445.67</v>
      </c>
      <c r="S384" s="5">
        <v>10.210000000000001</v>
      </c>
      <c r="W384" s="6" t="s">
        <v>1782</v>
      </c>
    </row>
    <row r="385" spans="1:23" x14ac:dyDescent="0.15">
      <c r="A385" s="2" t="s">
        <v>75</v>
      </c>
      <c r="B385" s="1"/>
      <c r="C385" s="2" t="s">
        <v>918</v>
      </c>
      <c r="D385" s="2" t="s">
        <v>695</v>
      </c>
      <c r="E385" s="1"/>
      <c r="F385" s="2" t="s">
        <v>80</v>
      </c>
      <c r="G385" s="2">
        <v>40.869999999999997</v>
      </c>
      <c r="H385" s="2" t="str">
        <f t="shared" si="12"/>
        <v>W</v>
      </c>
      <c r="I385" s="5"/>
      <c r="J385" s="5"/>
      <c r="K385" s="5"/>
      <c r="L385" s="5">
        <v>35.5</v>
      </c>
      <c r="M385" s="4" t="s">
        <v>47</v>
      </c>
      <c r="N385" s="5"/>
      <c r="O385" s="5"/>
      <c r="P385" s="5"/>
      <c r="R385" s="5"/>
      <c r="S385" s="5"/>
      <c r="W385" s="6" t="s">
        <v>2967</v>
      </c>
    </row>
    <row r="386" spans="1:23" x14ac:dyDescent="0.15">
      <c r="A386" s="2" t="s">
        <v>75</v>
      </c>
      <c r="B386" s="1"/>
      <c r="C386" s="2" t="s">
        <v>918</v>
      </c>
      <c r="D386" s="2" t="s">
        <v>695</v>
      </c>
      <c r="E386" s="1"/>
      <c r="F386" s="2" t="s">
        <v>86</v>
      </c>
      <c r="G386" s="2">
        <v>37</v>
      </c>
      <c r="H386" s="2" t="str">
        <f t="shared" si="12"/>
        <v>W</v>
      </c>
      <c r="I386" s="5">
        <v>22.41</v>
      </c>
      <c r="J386" s="5">
        <v>2856</v>
      </c>
      <c r="K386" s="5"/>
      <c r="L386" s="5">
        <v>23.6</v>
      </c>
      <c r="M386" s="4" t="s">
        <v>47</v>
      </c>
      <c r="N386" s="5">
        <v>25.78</v>
      </c>
      <c r="O386" s="5">
        <v>25.58</v>
      </c>
      <c r="P386" s="5">
        <v>9.6300000000000008</v>
      </c>
      <c r="Q386" s="2" t="s">
        <v>18</v>
      </c>
      <c r="R386" s="5">
        <v>227.2</v>
      </c>
      <c r="S386" s="5">
        <f>(R386/J386)*100</f>
        <v>7.9551820728291309</v>
      </c>
      <c r="V386" s="5">
        <v>7.96</v>
      </c>
      <c r="W386" s="6" t="s">
        <v>1783</v>
      </c>
    </row>
    <row r="387" spans="1:23" x14ac:dyDescent="0.15">
      <c r="A387" s="4" t="s">
        <v>75</v>
      </c>
      <c r="B387" s="1"/>
      <c r="C387" s="4" t="s">
        <v>918</v>
      </c>
      <c r="D387" s="4" t="s">
        <v>695</v>
      </c>
      <c r="E387" s="1"/>
      <c r="F387" s="4" t="s">
        <v>77</v>
      </c>
      <c r="G387" s="4">
        <v>48.47</v>
      </c>
      <c r="H387" s="2" t="str">
        <f t="shared" si="12"/>
        <v>W</v>
      </c>
      <c r="I387" s="33">
        <v>25.8</v>
      </c>
      <c r="J387" s="5">
        <v>3875</v>
      </c>
      <c r="K387" s="33">
        <v>12</v>
      </c>
      <c r="L387" s="33">
        <v>27.9</v>
      </c>
      <c r="M387" s="4" t="s">
        <v>47</v>
      </c>
      <c r="N387" s="5"/>
      <c r="O387" s="5"/>
      <c r="P387" s="5"/>
      <c r="R387" s="5"/>
      <c r="S387" s="5"/>
      <c r="T387" s="4">
        <v>1</v>
      </c>
      <c r="U387" s="2" t="str">
        <f>IF(T387&lt;=1, "1",IF(AND(T387&gt;1,T387&lt;4), "2-3", "+4"))</f>
        <v>1</v>
      </c>
      <c r="V387" s="5"/>
      <c r="W387" s="10" t="s">
        <v>1775</v>
      </c>
    </row>
    <row r="388" spans="1:23" x14ac:dyDescent="0.15">
      <c r="A388" s="2" t="s">
        <v>75</v>
      </c>
      <c r="B388" s="1"/>
      <c r="C388" s="2" t="s">
        <v>918</v>
      </c>
      <c r="D388" s="2" t="s">
        <v>695</v>
      </c>
      <c r="E388" s="1"/>
      <c r="F388" s="2" t="s">
        <v>77</v>
      </c>
      <c r="G388" s="2">
        <v>42.46</v>
      </c>
      <c r="H388" s="2" t="str">
        <f t="shared" si="12"/>
        <v>W</v>
      </c>
      <c r="I388" s="5"/>
      <c r="J388" s="5"/>
      <c r="K388" s="7">
        <f>MEDIAN(11,16)</f>
        <v>13.5</v>
      </c>
      <c r="L388" s="5">
        <v>28</v>
      </c>
      <c r="M388" s="4" t="s">
        <v>47</v>
      </c>
      <c r="N388" s="5"/>
      <c r="O388" s="5"/>
      <c r="P388" s="5"/>
      <c r="R388" s="5"/>
      <c r="S388" s="5"/>
      <c r="T388" s="2">
        <v>0.85</v>
      </c>
      <c r="U388" s="2" t="str">
        <f>IF(T388&lt;=1, "1",IF(AND(T388&gt;1,T388&lt;4), "2-3", "+4"))</f>
        <v>1</v>
      </c>
      <c r="V388" s="5"/>
      <c r="W388" s="6" t="s">
        <v>2968</v>
      </c>
    </row>
    <row r="389" spans="1:23" x14ac:dyDescent="0.15">
      <c r="A389" s="1" t="s">
        <v>75</v>
      </c>
      <c r="B389" s="1"/>
      <c r="C389" s="1" t="s">
        <v>918</v>
      </c>
      <c r="D389" s="1" t="s">
        <v>695</v>
      </c>
      <c r="E389" s="1"/>
      <c r="F389" s="1" t="s">
        <v>330</v>
      </c>
      <c r="G389" s="1">
        <v>31.5</v>
      </c>
      <c r="H389" s="1" t="s">
        <v>3887</v>
      </c>
      <c r="I389" s="8">
        <v>23.2</v>
      </c>
      <c r="J389" s="8">
        <v>2798</v>
      </c>
      <c r="K389" s="8"/>
      <c r="L389" s="8">
        <v>20.5</v>
      </c>
      <c r="M389" s="4" t="s">
        <v>47</v>
      </c>
      <c r="N389" s="8">
        <v>27.5</v>
      </c>
      <c r="O389" s="8">
        <v>27.5</v>
      </c>
      <c r="P389" s="8">
        <v>11.42</v>
      </c>
      <c r="Q389" s="1" t="s">
        <v>18</v>
      </c>
      <c r="R389" s="8">
        <v>234.1</v>
      </c>
      <c r="S389" s="8">
        <v>8.3699999999999992</v>
      </c>
      <c r="T389" s="1"/>
      <c r="U389" s="1"/>
      <c r="V389" s="8"/>
      <c r="W389" s="6" t="s">
        <v>3893</v>
      </c>
    </row>
    <row r="390" spans="1:23" x14ac:dyDescent="0.15">
      <c r="A390" s="2" t="s">
        <v>75</v>
      </c>
      <c r="B390" s="1"/>
      <c r="C390" s="2" t="s">
        <v>918</v>
      </c>
      <c r="D390" s="2" t="s">
        <v>695</v>
      </c>
      <c r="E390" s="1"/>
      <c r="F390" s="2" t="s">
        <v>158</v>
      </c>
      <c r="G390" s="2">
        <v>42.68</v>
      </c>
      <c r="H390" s="2" t="str">
        <f t="shared" ref="H390:H404" si="13">IF(G390="captive","C","W")</f>
        <v>W</v>
      </c>
      <c r="I390" s="5"/>
      <c r="J390" s="5"/>
      <c r="K390" s="7"/>
      <c r="L390" s="5"/>
      <c r="M390" s="4" t="s">
        <v>47</v>
      </c>
      <c r="N390" s="5">
        <v>25.9</v>
      </c>
      <c r="O390" s="5"/>
      <c r="P390" s="5"/>
      <c r="R390" s="5"/>
      <c r="S390" s="5"/>
      <c r="V390" s="5"/>
      <c r="W390" s="6" t="s">
        <v>2969</v>
      </c>
    </row>
    <row r="391" spans="1:23" x14ac:dyDescent="0.15">
      <c r="A391" s="2" t="s">
        <v>75</v>
      </c>
      <c r="B391" s="1"/>
      <c r="C391" s="2" t="s">
        <v>918</v>
      </c>
      <c r="D391" s="2" t="s">
        <v>695</v>
      </c>
      <c r="E391" s="1"/>
      <c r="F391" s="2" t="s">
        <v>120</v>
      </c>
      <c r="G391" s="2">
        <v>40.5</v>
      </c>
      <c r="H391" s="2" t="str">
        <f t="shared" si="13"/>
        <v>W</v>
      </c>
      <c r="I391" s="5">
        <v>29.5</v>
      </c>
      <c r="J391" s="5">
        <v>5857</v>
      </c>
      <c r="K391" s="7">
        <f>MEDIAN(10,12)</f>
        <v>11</v>
      </c>
      <c r="L391" s="5">
        <v>30</v>
      </c>
      <c r="M391" s="4" t="s">
        <v>47</v>
      </c>
      <c r="N391" s="5">
        <v>26.2</v>
      </c>
      <c r="O391" s="5">
        <v>26</v>
      </c>
      <c r="P391" s="5">
        <v>10.3</v>
      </c>
      <c r="Q391" s="2" t="s">
        <v>18</v>
      </c>
      <c r="R391" s="5">
        <v>310</v>
      </c>
      <c r="S391" s="5">
        <v>5.29</v>
      </c>
      <c r="T391" s="2">
        <v>1</v>
      </c>
      <c r="U391" s="2" t="str">
        <f>IF(T391&lt;=1, "1",IF(AND(T391&gt;1,T391&lt;4), "2-3", "+4"))</f>
        <v>1</v>
      </c>
      <c r="V391" s="5">
        <f>S391*T391</f>
        <v>5.29</v>
      </c>
      <c r="W391" s="6" t="s">
        <v>3398</v>
      </c>
    </row>
    <row r="392" spans="1:23" x14ac:dyDescent="0.15">
      <c r="A392" s="2" t="s">
        <v>75</v>
      </c>
      <c r="B392" s="1"/>
      <c r="C392" s="2" t="s">
        <v>918</v>
      </c>
      <c r="D392" s="2" t="s">
        <v>695</v>
      </c>
      <c r="E392" s="1"/>
      <c r="F392" s="2" t="s">
        <v>69</v>
      </c>
      <c r="G392" s="2">
        <v>25.42</v>
      </c>
      <c r="H392" s="2" t="str">
        <f t="shared" si="13"/>
        <v>W</v>
      </c>
      <c r="I392" s="5"/>
      <c r="J392" s="5"/>
      <c r="K392" s="5"/>
      <c r="L392" s="5">
        <v>10.67</v>
      </c>
      <c r="M392" s="4" t="s">
        <v>47</v>
      </c>
      <c r="N392" s="5"/>
      <c r="O392" s="5"/>
      <c r="P392" s="5"/>
      <c r="R392" s="5"/>
      <c r="S392" s="5"/>
      <c r="T392" s="7">
        <f>MEDIAN(2,4)</f>
        <v>3</v>
      </c>
      <c r="U392" s="2" t="str">
        <f>IF(T392&lt;=1, "1",IF(AND(T392&gt;1,T392&lt;4), "2-3", "+4"))</f>
        <v>2-3</v>
      </c>
      <c r="V392" s="5"/>
      <c r="W392" s="6" t="s">
        <v>2335</v>
      </c>
    </row>
    <row r="393" spans="1:23" x14ac:dyDescent="0.15">
      <c r="A393" s="2" t="s">
        <v>75</v>
      </c>
      <c r="B393" s="1"/>
      <c r="C393" s="2" t="s">
        <v>918</v>
      </c>
      <c r="D393" s="2" t="s">
        <v>695</v>
      </c>
      <c r="E393" s="1"/>
      <c r="F393" s="2" t="s">
        <v>2237</v>
      </c>
      <c r="G393" s="2">
        <v>29.9</v>
      </c>
      <c r="H393" s="2" t="str">
        <f t="shared" si="13"/>
        <v>W</v>
      </c>
      <c r="I393" s="5"/>
      <c r="J393" s="5"/>
      <c r="K393" s="5"/>
      <c r="L393" s="5">
        <v>33.200000000000003</v>
      </c>
      <c r="M393" s="4" t="s">
        <v>47</v>
      </c>
      <c r="N393" s="5"/>
      <c r="O393" s="5"/>
      <c r="P393" s="5"/>
      <c r="R393" s="5"/>
      <c r="S393" s="5"/>
      <c r="V393" s="5"/>
      <c r="W393" s="6" t="s">
        <v>2340</v>
      </c>
    </row>
    <row r="394" spans="1:23" x14ac:dyDescent="0.15">
      <c r="A394" s="2" t="s">
        <v>75</v>
      </c>
      <c r="B394" s="1"/>
      <c r="C394" s="2" t="s">
        <v>918</v>
      </c>
      <c r="D394" s="2" t="s">
        <v>695</v>
      </c>
      <c r="E394" s="1"/>
      <c r="F394" s="2" t="s">
        <v>83</v>
      </c>
      <c r="G394" s="2">
        <v>42</v>
      </c>
      <c r="H394" s="2" t="str">
        <f t="shared" si="13"/>
        <v>W</v>
      </c>
      <c r="I394" s="5"/>
      <c r="J394" s="5"/>
      <c r="K394" s="5"/>
      <c r="L394" s="5">
        <v>27.8</v>
      </c>
      <c r="M394" s="4" t="s">
        <v>47</v>
      </c>
      <c r="N394" s="5"/>
      <c r="O394" s="5"/>
      <c r="P394" s="5"/>
      <c r="R394" s="5"/>
      <c r="S394" s="5"/>
      <c r="V394" s="5"/>
      <c r="W394" s="6" t="s">
        <v>1779</v>
      </c>
    </row>
    <row r="395" spans="1:23" x14ac:dyDescent="0.15">
      <c r="A395" s="2" t="s">
        <v>75</v>
      </c>
      <c r="B395" s="1"/>
      <c r="C395" s="2" t="s">
        <v>918</v>
      </c>
      <c r="D395" s="2" t="s">
        <v>695</v>
      </c>
      <c r="E395" s="1"/>
      <c r="F395" s="2" t="s">
        <v>84</v>
      </c>
      <c r="G395" s="2">
        <v>44</v>
      </c>
      <c r="H395" s="2" t="str">
        <f t="shared" si="13"/>
        <v>W</v>
      </c>
      <c r="I395" s="5"/>
      <c r="J395" s="5"/>
      <c r="K395" s="5"/>
      <c r="L395" s="5">
        <v>36.299999999999997</v>
      </c>
      <c r="M395" s="4" t="s">
        <v>47</v>
      </c>
      <c r="N395" s="5"/>
      <c r="O395" s="5"/>
      <c r="P395" s="5"/>
      <c r="R395" s="5"/>
      <c r="S395" s="5"/>
      <c r="V395" s="5"/>
      <c r="W395" s="6" t="s">
        <v>1779</v>
      </c>
    </row>
    <row r="396" spans="1:23" x14ac:dyDescent="0.15">
      <c r="A396" s="2" t="s">
        <v>75</v>
      </c>
      <c r="B396" s="1"/>
      <c r="C396" s="2" t="s">
        <v>918</v>
      </c>
      <c r="D396" s="2" t="s">
        <v>695</v>
      </c>
      <c r="E396" s="1"/>
      <c r="F396" s="2" t="s">
        <v>82</v>
      </c>
      <c r="G396" s="2">
        <v>40</v>
      </c>
      <c r="H396" s="2" t="str">
        <f t="shared" si="13"/>
        <v>W</v>
      </c>
      <c r="I396" s="5"/>
      <c r="J396" s="5"/>
      <c r="K396" s="5"/>
      <c r="L396" s="5">
        <v>40.4</v>
      </c>
      <c r="M396" s="4" t="s">
        <v>47</v>
      </c>
      <c r="N396" s="5"/>
      <c r="O396" s="5"/>
      <c r="P396" s="5"/>
      <c r="R396" s="5"/>
      <c r="S396" s="5"/>
      <c r="V396" s="5"/>
      <c r="W396" s="6" t="s">
        <v>1779</v>
      </c>
    </row>
    <row r="397" spans="1:23" x14ac:dyDescent="0.15">
      <c r="A397" s="2" t="s">
        <v>75</v>
      </c>
      <c r="B397" s="1"/>
      <c r="C397" s="2" t="s">
        <v>918</v>
      </c>
      <c r="D397" s="2" t="s">
        <v>695</v>
      </c>
      <c r="E397" s="1"/>
      <c r="F397" s="2" t="s">
        <v>85</v>
      </c>
      <c r="G397" s="2">
        <v>42</v>
      </c>
      <c r="H397" s="2" t="str">
        <f t="shared" si="13"/>
        <v>W</v>
      </c>
      <c r="I397" s="5"/>
      <c r="J397" s="5"/>
      <c r="K397" s="5"/>
      <c r="L397" s="5">
        <v>47.5</v>
      </c>
      <c r="M397" s="4" t="s">
        <v>47</v>
      </c>
      <c r="N397" s="5"/>
      <c r="O397" s="5"/>
      <c r="P397" s="5"/>
      <c r="R397" s="5"/>
      <c r="S397" s="5"/>
      <c r="V397" s="5"/>
      <c r="W397" s="6" t="s">
        <v>1779</v>
      </c>
    </row>
    <row r="398" spans="1:23" x14ac:dyDescent="0.15">
      <c r="A398" s="2" t="s">
        <v>75</v>
      </c>
      <c r="B398" s="1"/>
      <c r="C398" s="2" t="s">
        <v>918</v>
      </c>
      <c r="D398" s="2" t="s">
        <v>695</v>
      </c>
      <c r="E398" s="1"/>
      <c r="F398" s="2" t="s">
        <v>907</v>
      </c>
      <c r="G398" s="2">
        <v>43.12</v>
      </c>
      <c r="H398" s="2" t="str">
        <f t="shared" si="13"/>
        <v>W</v>
      </c>
      <c r="I398" s="5">
        <v>21.75</v>
      </c>
      <c r="J398" s="5">
        <v>2900</v>
      </c>
      <c r="K398" s="5"/>
      <c r="L398" s="5">
        <v>23</v>
      </c>
      <c r="M398" s="4" t="s">
        <v>47</v>
      </c>
      <c r="N398" s="5"/>
      <c r="O398" s="5"/>
      <c r="P398" s="5"/>
      <c r="R398" s="5"/>
      <c r="S398" s="5"/>
      <c r="V398" s="5"/>
      <c r="W398" s="6" t="s">
        <v>3399</v>
      </c>
    </row>
    <row r="399" spans="1:23" x14ac:dyDescent="0.15">
      <c r="A399" s="2" t="s">
        <v>75</v>
      </c>
      <c r="B399" s="1"/>
      <c r="C399" s="2" t="s">
        <v>918</v>
      </c>
      <c r="D399" s="2" t="s">
        <v>695</v>
      </c>
      <c r="E399" s="1"/>
      <c r="F399" s="2" t="s">
        <v>907</v>
      </c>
      <c r="G399" s="2">
        <v>42.44</v>
      </c>
      <c r="H399" s="2" t="str">
        <f t="shared" si="13"/>
        <v>W</v>
      </c>
      <c r="I399" s="5">
        <v>27.9</v>
      </c>
      <c r="J399" s="5">
        <v>4937</v>
      </c>
      <c r="K399" s="5"/>
      <c r="L399" s="5">
        <v>18</v>
      </c>
      <c r="M399" s="4" t="s">
        <v>47</v>
      </c>
      <c r="N399" s="5"/>
      <c r="O399" s="5"/>
      <c r="P399" s="5"/>
      <c r="R399" s="5"/>
      <c r="S399" s="5"/>
      <c r="V399" s="5"/>
      <c r="W399" s="6" t="s">
        <v>2339</v>
      </c>
    </row>
    <row r="400" spans="1:23" x14ac:dyDescent="0.15">
      <c r="A400" s="2" t="s">
        <v>75</v>
      </c>
      <c r="B400" s="1"/>
      <c r="C400" s="2" t="s">
        <v>918</v>
      </c>
      <c r="D400" s="2" t="s">
        <v>695</v>
      </c>
      <c r="E400" s="1"/>
      <c r="F400" s="2" t="s">
        <v>188</v>
      </c>
      <c r="G400" s="2">
        <v>43.1</v>
      </c>
      <c r="H400" s="2" t="str">
        <f t="shared" si="13"/>
        <v>W</v>
      </c>
      <c r="I400" s="5">
        <v>31.9</v>
      </c>
      <c r="J400" s="5">
        <v>7364</v>
      </c>
      <c r="K400" s="5"/>
      <c r="L400" s="5">
        <v>49</v>
      </c>
      <c r="M400" s="4" t="s">
        <v>47</v>
      </c>
      <c r="N400" s="5"/>
      <c r="O400" s="5"/>
      <c r="P400" s="5"/>
      <c r="R400" s="5"/>
      <c r="S400" s="5"/>
      <c r="V400" s="5"/>
      <c r="W400" s="6" t="s">
        <v>2970</v>
      </c>
    </row>
    <row r="401" spans="1:33" x14ac:dyDescent="0.15">
      <c r="A401" s="2" t="s">
        <v>75</v>
      </c>
      <c r="B401" s="1"/>
      <c r="C401" s="2" t="s">
        <v>918</v>
      </c>
      <c r="D401" s="2" t="s">
        <v>695</v>
      </c>
      <c r="E401" s="1"/>
      <c r="F401" s="2" t="s">
        <v>79</v>
      </c>
      <c r="G401" s="2">
        <v>41.7</v>
      </c>
      <c r="H401" s="2" t="str">
        <f t="shared" si="13"/>
        <v>W</v>
      </c>
      <c r="I401" s="5">
        <v>32.119999999999997</v>
      </c>
      <c r="J401" s="5">
        <v>7256</v>
      </c>
      <c r="K401" s="5"/>
      <c r="L401" s="5">
        <v>50.8</v>
      </c>
      <c r="M401" s="4" t="s">
        <v>47</v>
      </c>
      <c r="N401" s="5">
        <f xml:space="preserve"> (P401 + 18.695)/1.089</f>
        <v>27.690541781450875</v>
      </c>
      <c r="O401" s="5">
        <f xml:space="preserve"> (P401 + 20.754)/1.1985</f>
        <v>26.878598247809762</v>
      </c>
      <c r="P401" s="5">
        <v>11.46</v>
      </c>
      <c r="Q401" s="2" t="s">
        <v>18</v>
      </c>
      <c r="R401" s="5">
        <v>587.20000000000005</v>
      </c>
      <c r="S401" s="5">
        <v>8.17</v>
      </c>
      <c r="V401" s="5"/>
      <c r="W401" s="6" t="s">
        <v>1777</v>
      </c>
    </row>
    <row r="402" spans="1:33" x14ac:dyDescent="0.15">
      <c r="A402" s="2" t="s">
        <v>75</v>
      </c>
      <c r="B402" s="1"/>
      <c r="C402" s="2" t="s">
        <v>918</v>
      </c>
      <c r="D402" s="2" t="s">
        <v>695</v>
      </c>
      <c r="E402" s="1"/>
      <c r="F402" s="2" t="s">
        <v>890</v>
      </c>
      <c r="G402" s="2">
        <v>40.5</v>
      </c>
      <c r="H402" s="2" t="str">
        <f t="shared" si="13"/>
        <v>W</v>
      </c>
      <c r="I402" s="5">
        <v>26.1</v>
      </c>
      <c r="J402" s="5">
        <v>4220</v>
      </c>
      <c r="K402" s="5"/>
      <c r="L402" s="5">
        <v>32.299999999999997</v>
      </c>
      <c r="M402" s="4" t="s">
        <v>47</v>
      </c>
      <c r="N402" s="5">
        <v>25.7</v>
      </c>
      <c r="O402" s="5">
        <v>25.4</v>
      </c>
      <c r="P402" s="5">
        <v>9.69</v>
      </c>
      <c r="Q402" s="2" t="s">
        <v>18</v>
      </c>
      <c r="R402" s="5">
        <v>309.8</v>
      </c>
      <c r="S402" s="5">
        <v>7.34</v>
      </c>
      <c r="T402" s="2">
        <v>1</v>
      </c>
      <c r="U402" s="2" t="str">
        <f>IF(T402&lt;=1, "1",IF(AND(T402&gt;1,T402&lt;4), "2-3", "+4"))</f>
        <v>1</v>
      </c>
      <c r="V402" s="5">
        <f>S402*T402</f>
        <v>7.34</v>
      </c>
      <c r="W402" s="6" t="s">
        <v>3400</v>
      </c>
    </row>
    <row r="403" spans="1:33" ht="15" customHeight="1" x14ac:dyDescent="0.15">
      <c r="A403" s="4" t="s">
        <v>75</v>
      </c>
      <c r="B403" s="1"/>
      <c r="C403" s="4" t="s">
        <v>918</v>
      </c>
      <c r="D403" s="4" t="s">
        <v>695</v>
      </c>
      <c r="E403" s="1"/>
      <c r="F403" s="4" t="s">
        <v>78</v>
      </c>
      <c r="G403" s="4">
        <v>41.73</v>
      </c>
      <c r="H403" s="2" t="str">
        <f t="shared" si="13"/>
        <v>W</v>
      </c>
      <c r="I403" s="5">
        <v>32.450000000000003</v>
      </c>
      <c r="J403" s="5">
        <v>7877</v>
      </c>
      <c r="K403" s="33">
        <v>11</v>
      </c>
      <c r="L403" s="33">
        <v>46.8</v>
      </c>
      <c r="M403" s="4" t="s">
        <v>47</v>
      </c>
      <c r="N403" s="5">
        <f>(P403+21.335-(0.706*O403))/0.499</f>
        <v>27.683767535070139</v>
      </c>
      <c r="O403" s="5">
        <v>26.8</v>
      </c>
      <c r="P403" s="5">
        <v>11.4</v>
      </c>
      <c r="Q403" s="2" t="s">
        <v>18</v>
      </c>
      <c r="R403" s="5">
        <v>526.9</v>
      </c>
      <c r="S403" s="5">
        <v>6.69</v>
      </c>
      <c r="T403" s="2">
        <v>1</v>
      </c>
      <c r="U403" s="2" t="str">
        <f>IF(T403&lt;=1, "1",IF(AND(T403&gt;1,T403&lt;4), "2-3", "+4"))</f>
        <v>1</v>
      </c>
      <c r="V403" s="5">
        <f>S403*T403</f>
        <v>6.69</v>
      </c>
      <c r="W403" s="10" t="s">
        <v>1776</v>
      </c>
    </row>
    <row r="404" spans="1:33" x14ac:dyDescent="0.15">
      <c r="A404" s="2" t="s">
        <v>75</v>
      </c>
      <c r="B404" s="1"/>
      <c r="C404" s="2" t="s">
        <v>918</v>
      </c>
      <c r="D404" s="2" t="s">
        <v>695</v>
      </c>
      <c r="E404" s="1"/>
      <c r="F404" s="2" t="s">
        <v>3994</v>
      </c>
      <c r="G404" s="2">
        <v>39.82</v>
      </c>
      <c r="H404" s="2" t="str">
        <f t="shared" si="13"/>
        <v>W</v>
      </c>
      <c r="I404" s="5">
        <v>31.8</v>
      </c>
      <c r="J404" s="5">
        <v>7173</v>
      </c>
      <c r="K404" s="5"/>
      <c r="L404" s="5">
        <v>43</v>
      </c>
      <c r="M404" s="2" t="s">
        <v>47</v>
      </c>
      <c r="N404" s="5"/>
      <c r="O404" s="5"/>
      <c r="P404" s="5">
        <v>13.57</v>
      </c>
      <c r="Q404" s="2" t="s">
        <v>18</v>
      </c>
      <c r="R404" s="5">
        <v>583.33000000000004</v>
      </c>
      <c r="S404" s="5">
        <v>8.1319999999999997</v>
      </c>
      <c r="V404" s="5"/>
      <c r="W404" s="6" t="s">
        <v>3995</v>
      </c>
    </row>
    <row r="405" spans="1:33" x14ac:dyDescent="0.15">
      <c r="A405" s="1" t="s">
        <v>75</v>
      </c>
      <c r="B405" s="1"/>
      <c r="C405" s="1" t="s">
        <v>918</v>
      </c>
      <c r="D405" s="1" t="s">
        <v>695</v>
      </c>
      <c r="E405" s="1"/>
      <c r="F405" s="1" t="s">
        <v>69</v>
      </c>
      <c r="G405" s="1">
        <v>29.5</v>
      </c>
      <c r="H405" s="1" t="s">
        <v>3887</v>
      </c>
      <c r="I405" s="8">
        <v>24.3</v>
      </c>
      <c r="J405" s="8">
        <v>3233</v>
      </c>
      <c r="K405" s="8"/>
      <c r="L405" s="8">
        <v>15</v>
      </c>
      <c r="M405" s="4" t="s">
        <v>47</v>
      </c>
      <c r="N405" s="8">
        <v>28.9</v>
      </c>
      <c r="O405" s="8">
        <v>27.7</v>
      </c>
      <c r="P405" s="8">
        <v>13.17</v>
      </c>
      <c r="Q405" s="1" t="s">
        <v>18</v>
      </c>
      <c r="R405" s="8">
        <v>197.6</v>
      </c>
      <c r="S405" s="8">
        <v>6.13</v>
      </c>
      <c r="T405" s="1"/>
      <c r="U405" s="1"/>
      <c r="V405" s="8"/>
      <c r="W405" s="6" t="s">
        <v>3894</v>
      </c>
    </row>
    <row r="406" spans="1:33" x14ac:dyDescent="0.15">
      <c r="A406" s="2" t="s">
        <v>75</v>
      </c>
      <c r="B406" s="1"/>
      <c r="C406" s="2" t="s">
        <v>918</v>
      </c>
      <c r="D406" s="2" t="s">
        <v>695</v>
      </c>
      <c r="E406" s="1"/>
      <c r="F406" s="2" t="s">
        <v>69</v>
      </c>
      <c r="G406" s="2">
        <v>28.73</v>
      </c>
      <c r="H406" s="2" t="str">
        <f t="shared" ref="H406:H416" si="14">IF(G406="captive","C","W")</f>
        <v>W</v>
      </c>
      <c r="I406" s="5">
        <v>27.4</v>
      </c>
      <c r="J406" s="5">
        <v>4959</v>
      </c>
      <c r="K406" s="5"/>
      <c r="L406" s="5">
        <v>23</v>
      </c>
      <c r="M406" s="4" t="s">
        <v>47</v>
      </c>
      <c r="N406" s="5"/>
      <c r="O406" s="5"/>
      <c r="P406" s="5"/>
      <c r="R406" s="5"/>
      <c r="S406" s="5"/>
      <c r="V406" s="5"/>
      <c r="W406" s="6" t="s">
        <v>2341</v>
      </c>
    </row>
    <row r="407" spans="1:33" x14ac:dyDescent="0.15">
      <c r="A407" s="2" t="s">
        <v>75</v>
      </c>
      <c r="B407" s="1"/>
      <c r="C407" s="2" t="s">
        <v>918</v>
      </c>
      <c r="D407" s="2" t="s">
        <v>695</v>
      </c>
      <c r="E407" s="1"/>
      <c r="F407" s="2" t="s">
        <v>69</v>
      </c>
      <c r="G407" s="2">
        <v>29.52</v>
      </c>
      <c r="H407" s="2" t="str">
        <f t="shared" si="14"/>
        <v>W</v>
      </c>
      <c r="I407" s="5">
        <v>27.8</v>
      </c>
      <c r="J407" s="5">
        <v>5174</v>
      </c>
      <c r="K407" s="5"/>
      <c r="L407" s="5">
        <v>32</v>
      </c>
      <c r="M407" s="4" t="s">
        <v>47</v>
      </c>
      <c r="N407" s="5"/>
      <c r="O407" s="5"/>
      <c r="P407" s="5"/>
      <c r="R407" s="5"/>
      <c r="S407" s="5"/>
      <c r="V407" s="5"/>
      <c r="W407" s="6" t="s">
        <v>2341</v>
      </c>
    </row>
    <row r="408" spans="1:33" x14ac:dyDescent="0.15">
      <c r="A408" s="2" t="s">
        <v>75</v>
      </c>
      <c r="B408" s="1"/>
      <c r="C408" s="2" t="s">
        <v>918</v>
      </c>
      <c r="D408" s="2" t="s">
        <v>695</v>
      </c>
      <c r="E408" s="1"/>
      <c r="F408" s="4" t="s">
        <v>87</v>
      </c>
      <c r="G408" s="4">
        <v>41</v>
      </c>
      <c r="H408" s="2" t="str">
        <f t="shared" si="14"/>
        <v>W</v>
      </c>
      <c r="I408" s="5"/>
      <c r="J408" s="5"/>
      <c r="K408" s="33"/>
      <c r="L408" s="33">
        <f>AVERAGE(45.2,45.5)</f>
        <v>45.35</v>
      </c>
      <c r="M408" s="4" t="s">
        <v>47</v>
      </c>
      <c r="N408" s="5">
        <f xml:space="preserve"> (P408 + 18.695)/1.089</f>
        <v>27.727272727272727</v>
      </c>
      <c r="O408" s="5">
        <f xml:space="preserve"> (P408 + 20.754)/1.1985</f>
        <v>26.911973299958287</v>
      </c>
      <c r="P408" s="5">
        <f>AVERAGE(11,12)</f>
        <v>11.5</v>
      </c>
      <c r="Q408" s="2" t="s">
        <v>18</v>
      </c>
      <c r="R408" s="5">
        <f>AVERAGE(493.8,535.6)</f>
        <v>514.70000000000005</v>
      </c>
      <c r="S408" s="5"/>
      <c r="V408" s="5"/>
      <c r="W408" s="10" t="s">
        <v>1905</v>
      </c>
    </row>
    <row r="409" spans="1:33" x14ac:dyDescent="0.15">
      <c r="A409" s="2" t="s">
        <v>75</v>
      </c>
      <c r="B409" s="1"/>
      <c r="C409" s="2" t="s">
        <v>918</v>
      </c>
      <c r="D409" s="2" t="s">
        <v>695</v>
      </c>
      <c r="E409" s="1"/>
      <c r="F409" s="2" t="s">
        <v>231</v>
      </c>
      <c r="G409" s="2">
        <v>42</v>
      </c>
      <c r="H409" s="2" t="str">
        <f t="shared" si="14"/>
        <v>W</v>
      </c>
      <c r="I409" s="5">
        <v>28.1</v>
      </c>
      <c r="J409" s="5">
        <v>5046</v>
      </c>
      <c r="K409" s="5"/>
      <c r="L409" s="5">
        <v>48.5</v>
      </c>
      <c r="M409" s="4" t="s">
        <v>47</v>
      </c>
      <c r="N409" s="5">
        <f xml:space="preserve"> (P409 + 18.695)/1.089</f>
        <v>28.434343434343436</v>
      </c>
      <c r="O409" s="5">
        <f xml:space="preserve"> (P409 + 20.754)/1.1985</f>
        <v>27.554443053817273</v>
      </c>
      <c r="P409" s="5">
        <v>12.27</v>
      </c>
      <c r="Q409" s="2" t="s">
        <v>18</v>
      </c>
      <c r="R409" s="5">
        <v>481.3</v>
      </c>
      <c r="S409" s="5">
        <v>9.5399999999999991</v>
      </c>
      <c r="T409" s="2">
        <v>1</v>
      </c>
      <c r="U409" s="2" t="str">
        <f>IF(T409&lt;=1, "1",IF(AND(T409&gt;1,T409&lt;4), "2-3", "+4"))</f>
        <v>1</v>
      </c>
      <c r="V409" s="5">
        <f>S409*T409</f>
        <v>9.5399999999999991</v>
      </c>
      <c r="W409" s="6" t="s">
        <v>3401</v>
      </c>
    </row>
    <row r="410" spans="1:33" x14ac:dyDescent="0.15">
      <c r="A410" s="2" t="s">
        <v>75</v>
      </c>
      <c r="B410" s="1"/>
      <c r="C410" s="2" t="s">
        <v>918</v>
      </c>
      <c r="D410" s="2" t="s">
        <v>695</v>
      </c>
      <c r="E410" s="1"/>
      <c r="F410" s="2" t="s">
        <v>2265</v>
      </c>
      <c r="G410" s="2">
        <v>45.54</v>
      </c>
      <c r="H410" s="2" t="str">
        <f t="shared" si="14"/>
        <v>W</v>
      </c>
      <c r="I410" s="5">
        <v>28.1</v>
      </c>
      <c r="J410" s="5">
        <v>6400</v>
      </c>
      <c r="K410" s="5"/>
      <c r="L410" s="5">
        <v>33.9</v>
      </c>
      <c r="M410" s="4" t="s">
        <v>47</v>
      </c>
      <c r="N410" s="5"/>
      <c r="O410" s="5"/>
      <c r="P410" s="5"/>
      <c r="R410" s="5"/>
      <c r="S410" s="5"/>
      <c r="V410" s="5"/>
      <c r="W410" s="6" t="s">
        <v>3313</v>
      </c>
    </row>
    <row r="411" spans="1:33" x14ac:dyDescent="0.15">
      <c r="A411" s="2" t="s">
        <v>75</v>
      </c>
      <c r="B411" s="1"/>
      <c r="C411" s="2" t="s">
        <v>918</v>
      </c>
      <c r="D411" s="2" t="s">
        <v>695</v>
      </c>
      <c r="E411" s="1"/>
      <c r="F411" s="2" t="s">
        <v>107</v>
      </c>
      <c r="G411" s="2">
        <v>37.340000000000003</v>
      </c>
      <c r="H411" s="2" t="str">
        <f t="shared" si="14"/>
        <v>W</v>
      </c>
      <c r="I411" s="5">
        <v>27.1</v>
      </c>
      <c r="J411" s="5">
        <v>4708</v>
      </c>
      <c r="K411" s="5"/>
      <c r="L411" s="5">
        <v>67</v>
      </c>
      <c r="M411" s="4" t="s">
        <v>47</v>
      </c>
      <c r="N411" s="5"/>
      <c r="O411" s="5"/>
      <c r="P411" s="5"/>
      <c r="R411" s="5"/>
      <c r="S411" s="5"/>
      <c r="V411" s="5"/>
      <c r="W411" s="6" t="s">
        <v>2337</v>
      </c>
    </row>
    <row r="412" spans="1:33" x14ac:dyDescent="0.15">
      <c r="A412" s="2" t="s">
        <v>75</v>
      </c>
      <c r="B412" s="1"/>
      <c r="C412" s="2" t="s">
        <v>918</v>
      </c>
      <c r="D412" s="2" t="s">
        <v>695</v>
      </c>
      <c r="E412" s="1"/>
      <c r="F412" s="2" t="s">
        <v>2937</v>
      </c>
      <c r="G412" s="2">
        <v>49.9</v>
      </c>
      <c r="H412" s="2" t="str">
        <f t="shared" si="14"/>
        <v>W</v>
      </c>
      <c r="I412" s="5">
        <v>36.4</v>
      </c>
      <c r="J412" s="5">
        <v>11364</v>
      </c>
      <c r="K412" s="5"/>
      <c r="L412" s="5">
        <v>77</v>
      </c>
      <c r="M412" s="4" t="s">
        <v>47</v>
      </c>
      <c r="N412" s="5">
        <v>26</v>
      </c>
      <c r="O412" s="5"/>
      <c r="P412" s="5">
        <v>9.6199999999999992</v>
      </c>
      <c r="Q412" s="2" t="s">
        <v>376</v>
      </c>
      <c r="R412" s="5">
        <v>740.7</v>
      </c>
      <c r="S412" s="5">
        <v>6.52</v>
      </c>
      <c r="V412" s="5"/>
      <c r="W412" s="6" t="s">
        <v>3192</v>
      </c>
    </row>
    <row r="413" spans="1:33" x14ac:dyDescent="0.15">
      <c r="A413" s="4" t="s">
        <v>75</v>
      </c>
      <c r="B413" s="1"/>
      <c r="C413" s="4" t="s">
        <v>918</v>
      </c>
      <c r="D413" s="4" t="s">
        <v>695</v>
      </c>
      <c r="E413" s="1"/>
      <c r="F413" s="4" t="s">
        <v>76</v>
      </c>
      <c r="G413" s="4">
        <v>42.58</v>
      </c>
      <c r="H413" s="2" t="str">
        <f t="shared" si="14"/>
        <v>W</v>
      </c>
      <c r="I413" s="5">
        <v>24.4</v>
      </c>
      <c r="J413" s="5">
        <v>5170</v>
      </c>
      <c r="K413" s="33">
        <v>19</v>
      </c>
      <c r="L413" s="33">
        <v>34</v>
      </c>
      <c r="M413" s="4" t="s">
        <v>47</v>
      </c>
      <c r="N413" s="5">
        <f xml:space="preserve"> (P413 + 18.695)/1.089</f>
        <v>27.819100091827366</v>
      </c>
      <c r="O413" s="5">
        <f xml:space="preserve"> (P413 + 20.754)/1.1985</f>
        <v>26.99541093032958</v>
      </c>
      <c r="P413" s="5">
        <v>11.6</v>
      </c>
      <c r="Q413" s="2" t="s">
        <v>18</v>
      </c>
      <c r="R413" s="5">
        <v>394.4</v>
      </c>
      <c r="S413" s="5">
        <v>7.63</v>
      </c>
      <c r="T413" s="2">
        <v>0.7</v>
      </c>
      <c r="U413" s="2" t="str">
        <f>IF(T413&lt;=1, "1",IF(AND(T413&gt;1,T413&lt;4), "2-3", "+4"))</f>
        <v>1</v>
      </c>
      <c r="V413" s="5">
        <v>5.5</v>
      </c>
      <c r="W413" s="10" t="s">
        <v>3314</v>
      </c>
    </row>
    <row r="414" spans="1:33" x14ac:dyDescent="0.15">
      <c r="A414" s="2" t="s">
        <v>75</v>
      </c>
      <c r="B414" s="1"/>
      <c r="C414" s="2" t="s">
        <v>918</v>
      </c>
      <c r="D414" s="2" t="s">
        <v>695</v>
      </c>
      <c r="E414" s="1"/>
      <c r="F414" s="2" t="s">
        <v>907</v>
      </c>
      <c r="G414" s="2">
        <v>42.5</v>
      </c>
      <c r="H414" s="2" t="str">
        <f t="shared" si="14"/>
        <v>W</v>
      </c>
      <c r="I414" s="5">
        <v>23.7</v>
      </c>
      <c r="J414" s="5">
        <v>2995</v>
      </c>
      <c r="K414" s="5"/>
      <c r="L414" s="5">
        <v>20.8</v>
      </c>
      <c r="M414" s="4" t="s">
        <v>47</v>
      </c>
      <c r="N414" s="5">
        <v>28.5</v>
      </c>
      <c r="O414" s="5">
        <f>(P414 + 21.335- (0.706*N414))/0.499</f>
        <v>27.563126252505011</v>
      </c>
      <c r="P414" s="5">
        <v>12.54</v>
      </c>
      <c r="Q414" s="2" t="s">
        <v>376</v>
      </c>
      <c r="R414" s="5">
        <v>260.8</v>
      </c>
      <c r="S414" s="5">
        <v>8.7100000000000009</v>
      </c>
      <c r="T414" s="2">
        <v>1</v>
      </c>
      <c r="U414" s="2" t="str">
        <f>IF(T414&lt;=1, "1",IF(AND(T414&gt;1,T414&lt;4), "2-3", "+4"))</f>
        <v>1</v>
      </c>
      <c r="V414" s="5">
        <f>S414*T414</f>
        <v>8.7100000000000009</v>
      </c>
      <c r="W414" s="6" t="s">
        <v>3402</v>
      </c>
    </row>
    <row r="415" spans="1:33" x14ac:dyDescent="0.15">
      <c r="A415" s="1" t="s">
        <v>75</v>
      </c>
      <c r="B415" s="1"/>
      <c r="C415" s="1" t="s">
        <v>918</v>
      </c>
      <c r="D415" s="1" t="s">
        <v>695</v>
      </c>
      <c r="E415" s="1"/>
      <c r="F415" s="1" t="s">
        <v>3923</v>
      </c>
      <c r="G415" s="1">
        <v>44.34</v>
      </c>
      <c r="H415" s="2" t="str">
        <f t="shared" si="14"/>
        <v>W</v>
      </c>
      <c r="I415" s="8">
        <v>25.89</v>
      </c>
      <c r="J415" s="8">
        <v>4370</v>
      </c>
      <c r="K415" s="8"/>
      <c r="L415" s="8">
        <v>30.9</v>
      </c>
      <c r="M415" s="1" t="s">
        <v>47</v>
      </c>
      <c r="N415" s="8">
        <v>28.4</v>
      </c>
      <c r="O415" s="8"/>
      <c r="P415" s="8">
        <v>11.1</v>
      </c>
      <c r="Q415" s="1" t="s">
        <v>18</v>
      </c>
      <c r="R415" s="8">
        <v>343</v>
      </c>
      <c r="S415" s="8">
        <v>7.85</v>
      </c>
      <c r="T415" s="1">
        <v>1</v>
      </c>
      <c r="U415" s="2" t="str">
        <f>IF(T415&lt;=1, "1",IF(AND(T415&gt;1,T415&lt;4), "2-3", "+4"))</f>
        <v>1</v>
      </c>
      <c r="V415" s="8">
        <v>7.85</v>
      </c>
      <c r="W415" s="6" t="s">
        <v>3924</v>
      </c>
      <c r="X415" s="1"/>
      <c r="Y415" s="1"/>
      <c r="Z415" s="1"/>
      <c r="AA415" s="1"/>
      <c r="AB415" s="1"/>
      <c r="AC415" s="1"/>
      <c r="AD415" s="1"/>
      <c r="AE415" s="1"/>
      <c r="AF415" s="1"/>
      <c r="AG415" s="1"/>
    </row>
    <row r="416" spans="1:33" x14ac:dyDescent="0.15">
      <c r="A416" s="2" t="s">
        <v>75</v>
      </c>
      <c r="B416" s="1"/>
      <c r="C416" s="2" t="s">
        <v>918</v>
      </c>
      <c r="D416" s="2" t="s">
        <v>695</v>
      </c>
      <c r="E416" s="1"/>
      <c r="F416" s="2" t="s">
        <v>907</v>
      </c>
      <c r="G416" s="2">
        <v>44.34</v>
      </c>
      <c r="H416" s="2" t="str">
        <f t="shared" si="14"/>
        <v>W</v>
      </c>
      <c r="I416" s="5">
        <v>25.89</v>
      </c>
      <c r="J416" s="5">
        <v>4370</v>
      </c>
      <c r="K416" s="5"/>
      <c r="L416" s="5">
        <v>30.9</v>
      </c>
      <c r="M416" s="4" t="s">
        <v>47</v>
      </c>
      <c r="N416" s="5">
        <v>28.4</v>
      </c>
      <c r="O416" s="5">
        <v>28.4</v>
      </c>
      <c r="P416" s="5">
        <v>11.1</v>
      </c>
      <c r="Q416" s="2" t="s">
        <v>18</v>
      </c>
      <c r="R416" s="5">
        <v>342.99</v>
      </c>
      <c r="S416" s="5">
        <v>7.85</v>
      </c>
      <c r="T416" s="2">
        <v>1</v>
      </c>
      <c r="U416" s="2" t="str">
        <f>IF(T416&lt;=1, "1",IF(AND(T416&gt;1,T416&lt;4), "2-3", "+4"))</f>
        <v>1</v>
      </c>
      <c r="V416" s="5">
        <f>S416*T416</f>
        <v>7.85</v>
      </c>
      <c r="W416" s="6" t="s">
        <v>2336</v>
      </c>
    </row>
    <row r="417" spans="1:23" x14ac:dyDescent="0.15">
      <c r="A417" s="1" t="s">
        <v>75</v>
      </c>
      <c r="B417" s="1"/>
      <c r="C417" s="1" t="s">
        <v>918</v>
      </c>
      <c r="D417" s="1" t="s">
        <v>695</v>
      </c>
      <c r="E417" s="1"/>
      <c r="F417" s="1" t="s">
        <v>69</v>
      </c>
      <c r="G417" s="1">
        <v>26.99</v>
      </c>
      <c r="H417" s="1" t="s">
        <v>3887</v>
      </c>
      <c r="I417" s="8">
        <v>21.6</v>
      </c>
      <c r="J417" s="8">
        <v>2254</v>
      </c>
      <c r="K417" s="8"/>
      <c r="L417" s="8">
        <v>15.3</v>
      </c>
      <c r="M417" s="4" t="s">
        <v>47</v>
      </c>
      <c r="N417" s="8">
        <v>26.2</v>
      </c>
      <c r="O417" s="8">
        <v>25.6</v>
      </c>
      <c r="P417" s="8">
        <v>9.9</v>
      </c>
      <c r="Q417" s="1" t="s">
        <v>18</v>
      </c>
      <c r="R417" s="8">
        <v>151.80000000000001</v>
      </c>
      <c r="S417" s="8">
        <v>6.74</v>
      </c>
      <c r="T417" s="1"/>
      <c r="U417" s="1"/>
      <c r="V417" s="8"/>
      <c r="W417" s="6" t="s">
        <v>3895</v>
      </c>
    </row>
    <row r="418" spans="1:23" x14ac:dyDescent="0.15">
      <c r="A418" s="2" t="s">
        <v>75</v>
      </c>
      <c r="B418" s="1"/>
      <c r="C418" s="2" t="s">
        <v>918</v>
      </c>
      <c r="D418" s="2" t="s">
        <v>695</v>
      </c>
      <c r="E418" s="1"/>
      <c r="F418" s="2" t="s">
        <v>2230</v>
      </c>
      <c r="G418" s="2">
        <v>38.99</v>
      </c>
      <c r="H418" s="2" t="str">
        <f>IF(G418="captive","C","W")</f>
        <v>W</v>
      </c>
      <c r="I418" s="5">
        <v>29.8</v>
      </c>
      <c r="J418" s="5">
        <v>5317</v>
      </c>
      <c r="K418" s="5"/>
      <c r="L418" s="5">
        <v>33</v>
      </c>
      <c r="M418" s="4" t="s">
        <v>47</v>
      </c>
      <c r="N418" s="5"/>
      <c r="O418" s="5"/>
      <c r="P418" s="5"/>
      <c r="R418" s="5"/>
      <c r="S418" s="5"/>
      <c r="V418" s="5"/>
      <c r="W418" s="6" t="s">
        <v>2971</v>
      </c>
    </row>
    <row r="419" spans="1:23" x14ac:dyDescent="0.15">
      <c r="A419" s="2" t="s">
        <v>75</v>
      </c>
      <c r="B419" s="1"/>
      <c r="C419" s="2" t="s">
        <v>918</v>
      </c>
      <c r="D419" s="2" t="s">
        <v>695</v>
      </c>
      <c r="E419" s="1"/>
      <c r="F419" s="2" t="s">
        <v>82</v>
      </c>
      <c r="G419" s="2">
        <v>40</v>
      </c>
      <c r="H419" s="2" t="str">
        <f>IF(G419="captive","C","W")</f>
        <v>W</v>
      </c>
      <c r="I419" s="5">
        <v>27</v>
      </c>
      <c r="J419" s="5">
        <v>5026</v>
      </c>
      <c r="K419" s="5"/>
      <c r="L419" s="5">
        <v>32.299999999999997</v>
      </c>
      <c r="M419" s="4" t="s">
        <v>47</v>
      </c>
      <c r="N419" s="5">
        <f xml:space="preserve"> (P419 + 18.695)/1.089</f>
        <v>27.819100091827366</v>
      </c>
      <c r="O419" s="5">
        <f xml:space="preserve"> (P419 + 20.754)/1.1985</f>
        <v>26.99541093032958</v>
      </c>
      <c r="P419" s="5">
        <v>11.6</v>
      </c>
      <c r="Q419" s="2" t="s">
        <v>18</v>
      </c>
      <c r="R419" s="5">
        <v>377.6</v>
      </c>
      <c r="S419" s="5">
        <f>0.081*100</f>
        <v>8.1</v>
      </c>
      <c r="V419" s="5"/>
      <c r="W419" s="6" t="s">
        <v>1781</v>
      </c>
    </row>
    <row r="420" spans="1:23" x14ac:dyDescent="0.15">
      <c r="A420" s="1" t="s">
        <v>75</v>
      </c>
      <c r="B420" s="1"/>
      <c r="C420" s="1" t="s">
        <v>918</v>
      </c>
      <c r="D420" s="1" t="s">
        <v>695</v>
      </c>
      <c r="E420" s="1"/>
      <c r="F420" s="1" t="s">
        <v>2230</v>
      </c>
      <c r="G420" s="1">
        <v>37</v>
      </c>
      <c r="H420" s="1" t="s">
        <v>3887</v>
      </c>
      <c r="I420" s="8">
        <v>26.8</v>
      </c>
      <c r="J420" s="8">
        <v>4441</v>
      </c>
      <c r="K420" s="8"/>
      <c r="L420" s="8">
        <v>31.8</v>
      </c>
      <c r="M420" s="4" t="s">
        <v>47</v>
      </c>
      <c r="N420" s="8">
        <v>27.5</v>
      </c>
      <c r="O420" s="8">
        <v>26.8</v>
      </c>
      <c r="P420" s="8">
        <v>11.63</v>
      </c>
      <c r="Q420" s="1" t="s">
        <v>18</v>
      </c>
      <c r="R420" s="8">
        <v>385.6</v>
      </c>
      <c r="S420" s="8">
        <v>8.68</v>
      </c>
      <c r="T420" s="1"/>
      <c r="U420" s="1"/>
      <c r="V420" s="8"/>
      <c r="W420" s="6" t="s">
        <v>3892</v>
      </c>
    </row>
    <row r="421" spans="1:23" x14ac:dyDescent="0.15">
      <c r="A421" s="2" t="s">
        <v>75</v>
      </c>
      <c r="B421" s="1"/>
      <c r="C421" s="2" t="s">
        <v>918</v>
      </c>
      <c r="D421" s="2" t="s">
        <v>695</v>
      </c>
      <c r="E421" s="1"/>
      <c r="F421" s="2" t="s">
        <v>523</v>
      </c>
      <c r="G421" s="2">
        <v>35.9</v>
      </c>
      <c r="H421" s="2" t="str">
        <f t="shared" ref="H421:H453" si="15">IF(G421="captive","C","W")</f>
        <v>W</v>
      </c>
      <c r="I421" s="5">
        <f>(EXP(LN(J421/0.0002045)/3.026))/10</f>
        <v>23.010505953244898</v>
      </c>
      <c r="J421" s="5">
        <v>2870</v>
      </c>
      <c r="K421" s="5"/>
      <c r="L421" s="5">
        <v>18.100000000000001</v>
      </c>
      <c r="M421" s="4" t="s">
        <v>47</v>
      </c>
      <c r="N421" s="5"/>
      <c r="O421" s="5"/>
      <c r="P421" s="5"/>
      <c r="R421" s="5"/>
      <c r="S421" s="5"/>
      <c r="V421" s="5"/>
      <c r="W421" s="6" t="s">
        <v>2338</v>
      </c>
    </row>
    <row r="422" spans="1:23" x14ac:dyDescent="0.15">
      <c r="A422" s="2" t="s">
        <v>75</v>
      </c>
      <c r="B422" s="1"/>
      <c r="C422" s="2" t="s">
        <v>918</v>
      </c>
      <c r="D422" s="2" t="s">
        <v>695</v>
      </c>
      <c r="E422" s="1"/>
      <c r="F422" s="2" t="s">
        <v>107</v>
      </c>
      <c r="G422" s="2">
        <v>38.5</v>
      </c>
      <c r="H422" s="2" t="str">
        <f t="shared" si="15"/>
        <v>W</v>
      </c>
      <c r="I422" s="5">
        <v>26</v>
      </c>
      <c r="J422" s="5">
        <v>3963</v>
      </c>
      <c r="K422" s="5"/>
      <c r="L422" s="5">
        <v>30</v>
      </c>
      <c r="M422" s="4" t="s">
        <v>47</v>
      </c>
      <c r="N422" s="5">
        <f xml:space="preserve"> (P422 + 18.695)/1.089</f>
        <v>27.920110192837466</v>
      </c>
      <c r="O422" s="5">
        <f xml:space="preserve"> (P422 + 20.754)/1.1985</f>
        <v>27.087192323738005</v>
      </c>
      <c r="P422" s="5">
        <v>11.71</v>
      </c>
      <c r="Q422" s="2" t="s">
        <v>18</v>
      </c>
      <c r="R422" s="5">
        <v>304</v>
      </c>
      <c r="S422" s="5">
        <v>7.68</v>
      </c>
      <c r="T422" s="2">
        <v>1</v>
      </c>
      <c r="U422" s="2" t="str">
        <f>IF(T422&lt;=1, "1",IF(AND(T422&gt;1,T422&lt;4), "2-3", "+4"))</f>
        <v>1</v>
      </c>
      <c r="V422" s="5">
        <f>S422*T422</f>
        <v>7.68</v>
      </c>
      <c r="W422" s="6" t="s">
        <v>3403</v>
      </c>
    </row>
    <row r="423" spans="1:23" x14ac:dyDescent="0.15">
      <c r="A423" s="2" t="s">
        <v>75</v>
      </c>
      <c r="B423" s="1"/>
      <c r="C423" s="2" t="s">
        <v>918</v>
      </c>
      <c r="D423" s="2" t="s">
        <v>695</v>
      </c>
      <c r="E423" s="1"/>
      <c r="F423" s="2" t="s">
        <v>907</v>
      </c>
      <c r="G423" s="2">
        <v>40.72</v>
      </c>
      <c r="H423" s="2" t="str">
        <f t="shared" si="15"/>
        <v>W</v>
      </c>
      <c r="I423" s="5">
        <v>25.72</v>
      </c>
      <c r="J423" s="5">
        <v>4021.4</v>
      </c>
      <c r="K423" s="5"/>
      <c r="L423" s="5">
        <v>31.4</v>
      </c>
      <c r="M423" s="4" t="s">
        <v>47</v>
      </c>
      <c r="N423" s="5">
        <f xml:space="preserve"> (P423 + 18.695)/1.089</f>
        <v>25.394857667584944</v>
      </c>
      <c r="O423" s="5">
        <f xml:space="preserve"> (P423 + 20.754)/1.1985</f>
        <v>24.792657488527329</v>
      </c>
      <c r="P423" s="5">
        <v>8.9600000000000009</v>
      </c>
      <c r="Q423" s="2" t="s">
        <v>18</v>
      </c>
      <c r="R423" s="5">
        <v>281.5</v>
      </c>
      <c r="S423" s="5">
        <v>7</v>
      </c>
      <c r="V423" s="5"/>
      <c r="W423" s="6" t="s">
        <v>2972</v>
      </c>
    </row>
    <row r="424" spans="1:23" x14ac:dyDescent="0.15">
      <c r="A424" s="2" t="s">
        <v>75</v>
      </c>
      <c r="B424" s="1"/>
      <c r="C424" s="2" t="s">
        <v>918</v>
      </c>
      <c r="D424" s="2" t="s">
        <v>695</v>
      </c>
      <c r="E424" s="1"/>
      <c r="F424" s="2" t="s">
        <v>907</v>
      </c>
      <c r="G424" s="2">
        <v>40.72</v>
      </c>
      <c r="H424" s="2" t="str">
        <f t="shared" si="15"/>
        <v>W</v>
      </c>
      <c r="I424" s="5">
        <v>26</v>
      </c>
      <c r="J424" s="5">
        <v>3803.6</v>
      </c>
      <c r="K424" s="5"/>
      <c r="L424" s="5">
        <v>32.200000000000003</v>
      </c>
      <c r="M424" s="4" t="s">
        <v>47</v>
      </c>
      <c r="N424" s="5">
        <f xml:space="preserve"> (P424 + 18.695)/1.089</f>
        <v>25.844811753902665</v>
      </c>
      <c r="O424" s="5">
        <f xml:space="preserve"> (P424 + 20.754)/1.1985</f>
        <v>25.201501877346686</v>
      </c>
      <c r="P424" s="5">
        <v>9.4499999999999993</v>
      </c>
      <c r="Q424" s="2" t="s">
        <v>18</v>
      </c>
      <c r="R424" s="5">
        <v>304.29000000000002</v>
      </c>
      <c r="S424" s="5">
        <v>8</v>
      </c>
      <c r="V424" s="5"/>
      <c r="W424" s="6" t="s">
        <v>2973</v>
      </c>
    </row>
    <row r="425" spans="1:23" x14ac:dyDescent="0.15">
      <c r="A425" s="2" t="s">
        <v>75</v>
      </c>
      <c r="B425" s="1"/>
      <c r="C425" s="2" t="s">
        <v>920</v>
      </c>
      <c r="D425" s="2" t="s">
        <v>696</v>
      </c>
      <c r="E425" s="1"/>
      <c r="F425" s="2" t="s">
        <v>69</v>
      </c>
      <c r="G425" s="2">
        <v>29.97</v>
      </c>
      <c r="H425" s="2" t="str">
        <f t="shared" si="15"/>
        <v>W</v>
      </c>
      <c r="I425" s="5"/>
      <c r="J425" s="5"/>
      <c r="K425" s="5"/>
      <c r="L425" s="5">
        <v>45</v>
      </c>
      <c r="M425" s="4" t="s">
        <v>47</v>
      </c>
      <c r="N425" s="5">
        <v>37.479999999999997</v>
      </c>
      <c r="O425" s="5">
        <v>36.159999999999997</v>
      </c>
      <c r="P425" s="5">
        <v>27.9</v>
      </c>
      <c r="Q425" s="2" t="s">
        <v>18</v>
      </c>
      <c r="R425" s="5">
        <v>1255.5</v>
      </c>
      <c r="S425" s="5"/>
      <c r="V425" s="5"/>
      <c r="W425" s="6" t="s">
        <v>2342</v>
      </c>
    </row>
    <row r="426" spans="1:23" x14ac:dyDescent="0.15">
      <c r="A426" s="4" t="s">
        <v>75</v>
      </c>
      <c r="B426" s="1"/>
      <c r="C426" s="4" t="s">
        <v>920</v>
      </c>
      <c r="D426" s="4" t="s">
        <v>696</v>
      </c>
      <c r="E426" s="1"/>
      <c r="F426" s="4" t="s">
        <v>88</v>
      </c>
      <c r="G426" s="4">
        <v>29.93</v>
      </c>
      <c r="H426" s="2" t="str">
        <f t="shared" si="15"/>
        <v>W</v>
      </c>
      <c r="I426" s="5">
        <v>42.4</v>
      </c>
      <c r="J426" s="5">
        <v>17200</v>
      </c>
      <c r="K426" s="33"/>
      <c r="L426" s="33"/>
      <c r="M426" s="4" t="s">
        <v>47</v>
      </c>
      <c r="N426" s="5"/>
      <c r="O426" s="5"/>
      <c r="P426" s="5"/>
      <c r="R426" s="5"/>
      <c r="S426" s="5"/>
      <c r="V426" s="5"/>
      <c r="W426" s="10" t="s">
        <v>1784</v>
      </c>
    </row>
    <row r="427" spans="1:23" x14ac:dyDescent="0.15">
      <c r="A427" s="2" t="s">
        <v>75</v>
      </c>
      <c r="B427" s="1"/>
      <c r="C427" s="2" t="s">
        <v>920</v>
      </c>
      <c r="D427" s="2" t="s">
        <v>490</v>
      </c>
      <c r="E427" s="1"/>
      <c r="F427" s="2" t="s">
        <v>330</v>
      </c>
      <c r="G427" s="2">
        <v>31</v>
      </c>
      <c r="H427" s="2" t="str">
        <f t="shared" si="15"/>
        <v>W</v>
      </c>
      <c r="I427" s="5">
        <v>40</v>
      </c>
      <c r="J427" s="5">
        <v>11700</v>
      </c>
      <c r="K427" s="5">
        <v>12</v>
      </c>
      <c r="L427" s="5">
        <v>24.5</v>
      </c>
      <c r="M427" s="4" t="s">
        <v>47</v>
      </c>
      <c r="N427" s="5">
        <v>37.82</v>
      </c>
      <c r="O427" s="5">
        <v>36.729999999999997</v>
      </c>
      <c r="P427" s="5">
        <v>29.04</v>
      </c>
      <c r="Q427" s="2" t="s">
        <v>376</v>
      </c>
      <c r="R427" s="5">
        <v>711.38</v>
      </c>
      <c r="S427" s="5">
        <v>6.08</v>
      </c>
      <c r="T427" s="2">
        <v>1</v>
      </c>
      <c r="U427" s="2" t="str">
        <f>IF(T427&lt;=1, "1",IF(AND(T427&gt;1,T427&lt;4), "2-3", "+4"))</f>
        <v>1</v>
      </c>
      <c r="V427" s="5">
        <f>S427*T427</f>
        <v>6.08</v>
      </c>
      <c r="W427" s="6" t="s">
        <v>2345</v>
      </c>
    </row>
    <row r="428" spans="1:23" x14ac:dyDescent="0.15">
      <c r="A428" s="2" t="s">
        <v>75</v>
      </c>
      <c r="B428" s="1"/>
      <c r="C428" s="2" t="s">
        <v>920</v>
      </c>
      <c r="D428" s="2" t="s">
        <v>490</v>
      </c>
      <c r="E428" s="1"/>
      <c r="F428" s="2" t="s">
        <v>69</v>
      </c>
      <c r="G428" s="2">
        <v>29.75</v>
      </c>
      <c r="H428" s="2" t="str">
        <f t="shared" si="15"/>
        <v>W</v>
      </c>
      <c r="I428" s="5">
        <v>46.5</v>
      </c>
      <c r="J428" s="5">
        <v>16332</v>
      </c>
      <c r="K428" s="5"/>
      <c r="L428" s="5">
        <v>36</v>
      </c>
      <c r="M428" s="4" t="s">
        <v>47</v>
      </c>
      <c r="N428" s="5">
        <v>36.44</v>
      </c>
      <c r="O428" s="5">
        <v>35.25</v>
      </c>
      <c r="P428" s="5">
        <v>25.9</v>
      </c>
      <c r="Q428" s="2" t="s">
        <v>18</v>
      </c>
      <c r="R428" s="5">
        <v>932.4</v>
      </c>
      <c r="S428" s="5">
        <f>(R428/J428)*100</f>
        <v>5.7090374724467301</v>
      </c>
      <c r="T428" s="2">
        <v>1</v>
      </c>
      <c r="U428" s="2" t="str">
        <f>IF(T428&lt;=1, "1",IF(AND(T428&gt;1,T428&lt;4), "2-3", "+4"))</f>
        <v>1</v>
      </c>
      <c r="V428" s="5">
        <f>S428*T428</f>
        <v>5.7090374724467301</v>
      </c>
      <c r="W428" s="6" t="s">
        <v>2347</v>
      </c>
    </row>
    <row r="429" spans="1:23" x14ac:dyDescent="0.15">
      <c r="A429" s="2" t="s">
        <v>75</v>
      </c>
      <c r="B429" s="1"/>
      <c r="C429" s="2" t="s">
        <v>920</v>
      </c>
      <c r="D429" s="2" t="s">
        <v>490</v>
      </c>
      <c r="E429" s="1"/>
      <c r="F429" s="2" t="s">
        <v>69</v>
      </c>
      <c r="G429" s="2">
        <v>29.9</v>
      </c>
      <c r="H429" s="2" t="str">
        <f t="shared" si="15"/>
        <v>W</v>
      </c>
      <c r="I429" s="5">
        <v>45</v>
      </c>
      <c r="J429" s="5">
        <v>21150</v>
      </c>
      <c r="K429" s="5"/>
      <c r="L429" s="5">
        <v>35.1</v>
      </c>
      <c r="M429" s="4" t="s">
        <v>47</v>
      </c>
      <c r="N429" s="5">
        <v>36.909999999999997</v>
      </c>
      <c r="O429" s="5">
        <v>35.659999999999997</v>
      </c>
      <c r="P429" s="5">
        <v>25.81</v>
      </c>
      <c r="Q429" s="2" t="s">
        <v>18</v>
      </c>
      <c r="R429" s="5">
        <v>905.93</v>
      </c>
      <c r="S429" s="5">
        <v>4.28</v>
      </c>
      <c r="V429" s="5"/>
      <c r="W429" s="6" t="s">
        <v>2344</v>
      </c>
    </row>
    <row r="430" spans="1:23" x14ac:dyDescent="0.15">
      <c r="A430" s="2" t="s">
        <v>75</v>
      </c>
      <c r="B430" s="1"/>
      <c r="C430" s="2" t="s">
        <v>920</v>
      </c>
      <c r="D430" s="2" t="s">
        <v>490</v>
      </c>
      <c r="E430" s="1"/>
      <c r="F430" s="2" t="s">
        <v>2264</v>
      </c>
      <c r="G430" s="2">
        <v>37.450000000000003</v>
      </c>
      <c r="H430" s="2" t="str">
        <f t="shared" si="15"/>
        <v>W</v>
      </c>
      <c r="I430" s="5">
        <v>42.5</v>
      </c>
      <c r="J430" s="5">
        <v>17727</v>
      </c>
      <c r="K430" s="5"/>
      <c r="L430" s="5">
        <v>33</v>
      </c>
      <c r="M430" s="4" t="s">
        <v>47</v>
      </c>
      <c r="N430" s="5">
        <v>35.200000000000003</v>
      </c>
      <c r="O430" s="5">
        <v>34.299999999999997</v>
      </c>
      <c r="P430" s="5">
        <v>23.48</v>
      </c>
      <c r="Q430" s="2" t="s">
        <v>376</v>
      </c>
      <c r="R430" s="5">
        <v>774.9</v>
      </c>
      <c r="S430" s="5">
        <v>4.37</v>
      </c>
      <c r="V430" s="5"/>
      <c r="W430" s="6" t="s">
        <v>2343</v>
      </c>
    </row>
    <row r="431" spans="1:23" x14ac:dyDescent="0.15">
      <c r="A431" s="2" t="s">
        <v>75</v>
      </c>
      <c r="B431" s="1"/>
      <c r="C431" s="2" t="s">
        <v>920</v>
      </c>
      <c r="D431" s="2" t="s">
        <v>490</v>
      </c>
      <c r="E431" s="1"/>
      <c r="F431" s="2" t="s">
        <v>374</v>
      </c>
      <c r="G431" s="2" t="s">
        <v>374</v>
      </c>
      <c r="H431" s="2" t="str">
        <f t="shared" si="15"/>
        <v>C</v>
      </c>
      <c r="I431" s="5">
        <v>40.6</v>
      </c>
      <c r="J431" s="5">
        <v>16800</v>
      </c>
      <c r="K431" s="5"/>
      <c r="L431" s="5">
        <v>27.33</v>
      </c>
      <c r="M431" s="4" t="s">
        <v>47</v>
      </c>
      <c r="N431" s="5">
        <v>33.9</v>
      </c>
      <c r="O431" s="5">
        <v>33</v>
      </c>
      <c r="P431" s="5">
        <v>20.3</v>
      </c>
      <c r="Q431" s="2" t="s">
        <v>18</v>
      </c>
      <c r="R431" s="5">
        <v>554.79999999999995</v>
      </c>
      <c r="S431" s="5">
        <v>3.3</v>
      </c>
      <c r="V431" s="5"/>
      <c r="W431" s="6" t="s">
        <v>3404</v>
      </c>
    </row>
    <row r="432" spans="1:23" x14ac:dyDescent="0.15">
      <c r="A432" s="2" t="s">
        <v>75</v>
      </c>
      <c r="B432" s="1"/>
      <c r="C432" s="2" t="s">
        <v>920</v>
      </c>
      <c r="D432" s="2" t="s">
        <v>490</v>
      </c>
      <c r="E432" s="1"/>
      <c r="F432" s="2" t="s">
        <v>908</v>
      </c>
      <c r="G432" s="2">
        <v>32.03</v>
      </c>
      <c r="H432" s="2" t="str">
        <f t="shared" si="15"/>
        <v>W</v>
      </c>
      <c r="I432" s="5">
        <v>38.5</v>
      </c>
      <c r="J432" s="5">
        <v>13500</v>
      </c>
      <c r="K432" s="5"/>
      <c r="L432" s="5">
        <v>10</v>
      </c>
      <c r="M432" s="4" t="s">
        <v>47</v>
      </c>
      <c r="N432" s="5">
        <v>34.83</v>
      </c>
      <c r="O432" s="5">
        <v>34.83</v>
      </c>
      <c r="P432" s="5">
        <v>24.375</v>
      </c>
      <c r="Q432" s="2" t="s">
        <v>18</v>
      </c>
      <c r="R432" s="5">
        <v>243.75</v>
      </c>
      <c r="S432" s="5">
        <v>1.81</v>
      </c>
      <c r="T432" s="2">
        <v>1</v>
      </c>
      <c r="U432" s="2" t="str">
        <f>IF(T432&lt;=1, "1",IF(AND(T432&gt;1,T432&lt;4), "2-3", "+4"))</f>
        <v>1</v>
      </c>
      <c r="V432" s="5">
        <f>S432*T432</f>
        <v>1.81</v>
      </c>
      <c r="W432" s="6" t="s">
        <v>3405</v>
      </c>
    </row>
    <row r="433" spans="1:23" ht="12.75" customHeight="1" x14ac:dyDescent="0.15">
      <c r="A433" s="2" t="s">
        <v>75</v>
      </c>
      <c r="B433" s="1"/>
      <c r="C433" s="2" t="s">
        <v>920</v>
      </c>
      <c r="D433" s="2" t="s">
        <v>490</v>
      </c>
      <c r="E433" s="1"/>
      <c r="F433" s="2" t="s">
        <v>374</v>
      </c>
      <c r="G433" s="2" t="s">
        <v>374</v>
      </c>
      <c r="H433" s="2" t="str">
        <f t="shared" si="15"/>
        <v>C</v>
      </c>
      <c r="I433" s="5">
        <v>41.95</v>
      </c>
      <c r="J433" s="5">
        <v>18000</v>
      </c>
      <c r="K433" s="5"/>
      <c r="L433" s="5">
        <v>34</v>
      </c>
      <c r="M433" s="4" t="s">
        <v>47</v>
      </c>
      <c r="N433" s="5">
        <f>(P433+53.387-(1.376*O433))/0.843</f>
        <v>35.015848161328591</v>
      </c>
      <c r="O433" s="5">
        <v>34.89</v>
      </c>
      <c r="P433" s="5">
        <v>24.14</v>
      </c>
      <c r="Q433" s="2" t="s">
        <v>18</v>
      </c>
      <c r="R433" s="5">
        <v>818.2</v>
      </c>
      <c r="S433" s="5">
        <v>4.5460000000000003</v>
      </c>
      <c r="T433" s="5">
        <v>1</v>
      </c>
      <c r="U433" s="2" t="str">
        <f>IF(T433&lt;=1, "1",IF(AND(T433&gt;1,T433&lt;4), "2-3", "+4"))</f>
        <v>1</v>
      </c>
      <c r="V433" s="5">
        <v>4.55</v>
      </c>
      <c r="W433" s="6" t="s">
        <v>2215</v>
      </c>
    </row>
    <row r="434" spans="1:23" ht="12.75" customHeight="1" x14ac:dyDescent="0.15">
      <c r="A434" s="2" t="s">
        <v>75</v>
      </c>
      <c r="B434" s="1"/>
      <c r="C434" s="2" t="s">
        <v>920</v>
      </c>
      <c r="D434" s="2" t="s">
        <v>490</v>
      </c>
      <c r="E434" s="1"/>
      <c r="F434" s="2" t="s">
        <v>330</v>
      </c>
      <c r="G434" s="2">
        <v>31.6</v>
      </c>
      <c r="H434" s="2" t="str">
        <f t="shared" si="15"/>
        <v>W</v>
      </c>
      <c r="I434" s="5">
        <v>40.4</v>
      </c>
      <c r="J434" s="5">
        <v>14885</v>
      </c>
      <c r="K434" s="5">
        <f>MEDIAN(13,21)</f>
        <v>17</v>
      </c>
      <c r="L434" s="5">
        <v>36.03</v>
      </c>
      <c r="M434" s="4" t="s">
        <v>47</v>
      </c>
      <c r="N434" s="5">
        <v>35.770000000000003</v>
      </c>
      <c r="O434" s="5">
        <v>35.770000000000003</v>
      </c>
      <c r="P434" s="5">
        <v>24.59</v>
      </c>
      <c r="Q434" s="2" t="s">
        <v>376</v>
      </c>
      <c r="R434" s="5">
        <v>885.92</v>
      </c>
      <c r="S434" s="5">
        <f>(R434/J434)*100</f>
        <v>5.9517635203224719</v>
      </c>
      <c r="T434" s="2">
        <v>1</v>
      </c>
      <c r="U434" s="2" t="str">
        <f>IF(T434&lt;=1, "1",IF(AND(T434&gt;1,T434&lt;4), "2-3", "+4"))</f>
        <v>1</v>
      </c>
      <c r="V434" s="5">
        <f>S434*T434</f>
        <v>5.9517635203224719</v>
      </c>
      <c r="W434" s="6" t="s">
        <v>2346</v>
      </c>
    </row>
    <row r="435" spans="1:23" ht="12.75" customHeight="1" x14ac:dyDescent="0.15">
      <c r="A435" s="2" t="s">
        <v>90</v>
      </c>
      <c r="C435" s="2" t="s">
        <v>922</v>
      </c>
      <c r="D435" s="2" t="s">
        <v>501</v>
      </c>
      <c r="E435" s="1"/>
      <c r="F435" s="2" t="s">
        <v>502</v>
      </c>
      <c r="G435" s="2">
        <v>16.3</v>
      </c>
      <c r="H435" s="2" t="s">
        <v>30</v>
      </c>
      <c r="I435" s="5"/>
      <c r="J435" s="5"/>
      <c r="K435" s="5">
        <v>16.75</v>
      </c>
      <c r="L435" s="5"/>
      <c r="M435" s="4" t="s">
        <v>571</v>
      </c>
      <c r="N435" s="5"/>
      <c r="O435" s="5"/>
      <c r="P435" s="5"/>
      <c r="R435" s="5"/>
      <c r="S435" s="5"/>
      <c r="V435" s="5"/>
      <c r="W435" s="6" t="s">
        <v>4117</v>
      </c>
    </row>
    <row r="436" spans="1:23" x14ac:dyDescent="0.15">
      <c r="A436" s="2" t="s">
        <v>90</v>
      </c>
      <c r="C436" s="2" t="s">
        <v>922</v>
      </c>
      <c r="D436" s="2" t="s">
        <v>501</v>
      </c>
      <c r="E436" s="1"/>
      <c r="F436" s="2" t="s">
        <v>92</v>
      </c>
      <c r="G436" s="2">
        <v>18.77</v>
      </c>
      <c r="H436" s="2" t="str">
        <f t="shared" si="15"/>
        <v>W</v>
      </c>
      <c r="I436" s="5">
        <v>47</v>
      </c>
      <c r="J436" s="5">
        <f xml:space="preserve"> 0.0239*(I436*10)^2.0983</f>
        <v>9666.3126116910335</v>
      </c>
      <c r="K436" s="5"/>
      <c r="L436" s="5">
        <v>10</v>
      </c>
      <c r="M436" s="2" t="s">
        <v>571</v>
      </c>
      <c r="N436" s="5">
        <v>58.93</v>
      </c>
      <c r="O436" s="5">
        <v>33.92</v>
      </c>
      <c r="P436" s="5">
        <v>40.799999999999997</v>
      </c>
      <c r="Q436" s="2" t="s">
        <v>18</v>
      </c>
      <c r="R436" s="5">
        <v>408</v>
      </c>
      <c r="S436" s="5">
        <f>(R436/J436)*100</f>
        <v>4.2208442494042631</v>
      </c>
      <c r="V436" s="5"/>
      <c r="W436" s="6" t="s">
        <v>1785</v>
      </c>
    </row>
    <row r="437" spans="1:23" x14ac:dyDescent="0.15">
      <c r="A437" s="2" t="s">
        <v>90</v>
      </c>
      <c r="C437" s="2" t="s">
        <v>922</v>
      </c>
      <c r="D437" s="2" t="s">
        <v>501</v>
      </c>
      <c r="E437" s="1"/>
      <c r="F437" s="2" t="s">
        <v>606</v>
      </c>
      <c r="G437" s="2">
        <v>16.41</v>
      </c>
      <c r="H437" s="2" t="str">
        <f t="shared" si="15"/>
        <v>W</v>
      </c>
      <c r="I437" s="5">
        <v>46.6</v>
      </c>
      <c r="J437" s="5">
        <v>12050</v>
      </c>
      <c r="K437" s="5"/>
      <c r="L437" s="5">
        <v>10.95</v>
      </c>
      <c r="M437" s="5" t="s">
        <v>571</v>
      </c>
      <c r="N437" s="5">
        <v>61.2</v>
      </c>
      <c r="O437" s="5">
        <v>36.4</v>
      </c>
      <c r="P437" s="5">
        <v>49.4</v>
      </c>
      <c r="Q437" s="2" t="s">
        <v>18</v>
      </c>
      <c r="R437" s="5">
        <v>514.1</v>
      </c>
      <c r="S437" s="5">
        <v>4.3</v>
      </c>
      <c r="T437" s="5">
        <v>2.6</v>
      </c>
      <c r="U437" s="2" t="str">
        <f>IF(T437&lt;=1, "1",IF(AND(T437&gt;1,T437&lt;4), "2-3", "+4"))</f>
        <v>2-3</v>
      </c>
      <c r="V437" s="5">
        <f>S437*T437</f>
        <v>11.18</v>
      </c>
      <c r="W437" s="6" t="s">
        <v>2213</v>
      </c>
    </row>
    <row r="438" spans="1:23" x14ac:dyDescent="0.15">
      <c r="A438" s="2" t="s">
        <v>90</v>
      </c>
      <c r="C438" s="2" t="s">
        <v>922</v>
      </c>
      <c r="D438" s="2" t="s">
        <v>501</v>
      </c>
      <c r="E438" s="1"/>
      <c r="F438" s="2" t="s">
        <v>502</v>
      </c>
      <c r="G438" s="2">
        <v>17.5</v>
      </c>
      <c r="H438" s="2" t="str">
        <f t="shared" si="15"/>
        <v>W</v>
      </c>
      <c r="I438" s="5">
        <v>42</v>
      </c>
      <c r="J438" s="5">
        <f xml:space="preserve"> 0.0239*(I438*10)^2.0983</f>
        <v>7634.1710594244687</v>
      </c>
      <c r="K438" s="5"/>
      <c r="L438" s="5">
        <v>10.98</v>
      </c>
      <c r="M438" s="5" t="s">
        <v>571</v>
      </c>
      <c r="N438" s="5">
        <v>61.6</v>
      </c>
      <c r="O438" s="5">
        <v>35.799999999999997</v>
      </c>
      <c r="P438" s="5">
        <v>50.2</v>
      </c>
      <c r="Q438" s="2" t="s">
        <v>18</v>
      </c>
      <c r="R438" s="5">
        <v>551.20000000000005</v>
      </c>
      <c r="S438" s="5">
        <f>(R438/J438)*100</f>
        <v>7.2201683157143508</v>
      </c>
      <c r="T438" s="5">
        <v>2.0499999999999998</v>
      </c>
      <c r="U438" s="2" t="str">
        <f>IF(T438&lt;=1, "1",IF(AND(T438&gt;1,T438&lt;4), "2-3", "+4"))</f>
        <v>2-3</v>
      </c>
      <c r="V438" s="5">
        <f>S438*2.05</f>
        <v>14.801345047214419</v>
      </c>
      <c r="W438" s="6" t="s">
        <v>2216</v>
      </c>
    </row>
    <row r="439" spans="1:23" x14ac:dyDescent="0.15">
      <c r="A439" s="2" t="s">
        <v>90</v>
      </c>
      <c r="C439" s="2" t="s">
        <v>922</v>
      </c>
      <c r="D439" s="2" t="s">
        <v>501</v>
      </c>
      <c r="E439" s="1"/>
      <c r="F439" s="2" t="s">
        <v>91</v>
      </c>
      <c r="G439" s="2">
        <v>17.5</v>
      </c>
      <c r="H439" s="2" t="str">
        <f t="shared" si="15"/>
        <v>W</v>
      </c>
      <c r="I439" s="5">
        <v>46.6</v>
      </c>
      <c r="J439" s="5">
        <v>12050</v>
      </c>
      <c r="K439" s="5"/>
      <c r="L439" s="5">
        <v>14.8</v>
      </c>
      <c r="M439" s="2" t="s">
        <v>571</v>
      </c>
      <c r="N439" s="5">
        <f>(P439-(1.236*O439)+24.642)/0.532</f>
        <v>54.608270676691724</v>
      </c>
      <c r="O439" s="5">
        <v>36.4</v>
      </c>
      <c r="P439" s="5">
        <v>49.4</v>
      </c>
      <c r="Q439" s="2" t="s">
        <v>18</v>
      </c>
      <c r="R439" s="5">
        <v>514.1</v>
      </c>
      <c r="S439" s="5">
        <v>4.3</v>
      </c>
      <c r="T439" s="2">
        <v>2.6</v>
      </c>
      <c r="U439" s="2" t="str">
        <f>IF(T439&lt;=1, "1",IF(AND(T439&gt;1,T439&lt;4), "2-3", "+4"))</f>
        <v>2-3</v>
      </c>
      <c r="V439" s="5">
        <f>S439*T439</f>
        <v>11.18</v>
      </c>
      <c r="W439" s="6" t="s">
        <v>1891</v>
      </c>
    </row>
    <row r="440" spans="1:23" x14ac:dyDescent="0.15">
      <c r="A440" s="2" t="s">
        <v>93</v>
      </c>
      <c r="C440" s="2" t="s">
        <v>924</v>
      </c>
      <c r="D440" s="2" t="s">
        <v>697</v>
      </c>
      <c r="E440" s="1"/>
      <c r="F440" s="2" t="s">
        <v>3149</v>
      </c>
      <c r="H440" s="2" t="s">
        <v>3887</v>
      </c>
      <c r="I440" s="5"/>
      <c r="J440" s="5"/>
      <c r="K440" s="5">
        <v>17.8</v>
      </c>
      <c r="L440" s="5"/>
      <c r="M440" s="2" t="s">
        <v>191</v>
      </c>
      <c r="N440" s="5"/>
      <c r="O440" s="5"/>
      <c r="P440" s="5"/>
      <c r="R440" s="5"/>
      <c r="S440" s="5"/>
      <c r="V440" s="5"/>
      <c r="W440" s="6" t="s">
        <v>3153</v>
      </c>
    </row>
    <row r="441" spans="1:23" x14ac:dyDescent="0.15">
      <c r="A441" s="2" t="s">
        <v>93</v>
      </c>
      <c r="C441" s="2" t="s">
        <v>924</v>
      </c>
      <c r="D441" s="2" t="s">
        <v>697</v>
      </c>
      <c r="E441" s="1"/>
      <c r="F441" s="2" t="s">
        <v>3151</v>
      </c>
      <c r="G441" s="2">
        <v>17.670000000000002</v>
      </c>
      <c r="H441" s="2" t="str">
        <f t="shared" si="15"/>
        <v>W</v>
      </c>
      <c r="I441" s="5">
        <f>151.5*0.952</f>
        <v>144.22799999999998</v>
      </c>
      <c r="J441" s="5">
        <v>320111</v>
      </c>
      <c r="K441" s="5"/>
      <c r="L441" s="5">
        <v>79.7</v>
      </c>
      <c r="M441" s="2" t="s">
        <v>191</v>
      </c>
      <c r="N441" s="5"/>
      <c r="O441" s="5"/>
      <c r="P441" s="5"/>
      <c r="R441" s="5"/>
      <c r="S441" s="5"/>
      <c r="T441" s="2">
        <v>5.26</v>
      </c>
      <c r="U441" s="2" t="str">
        <f>IF(T441&lt;=1, "1",IF(AND(T441&gt;1,T441&lt;4), "2-3", "+4"))</f>
        <v>+4</v>
      </c>
      <c r="V441" s="5"/>
      <c r="W441" s="6" t="s">
        <v>3193</v>
      </c>
    </row>
    <row r="442" spans="1:23" x14ac:dyDescent="0.15">
      <c r="A442" s="4" t="s">
        <v>93</v>
      </c>
      <c r="C442" s="4" t="s">
        <v>924</v>
      </c>
      <c r="D442" s="4" t="s">
        <v>697</v>
      </c>
      <c r="E442" s="1"/>
      <c r="F442" s="4" t="s">
        <v>94</v>
      </c>
      <c r="G442" s="4">
        <v>5.73</v>
      </c>
      <c r="H442" s="2" t="str">
        <f t="shared" si="15"/>
        <v>W</v>
      </c>
      <c r="I442" s="5"/>
      <c r="J442" s="5"/>
      <c r="K442" s="33"/>
      <c r="L442" s="33"/>
      <c r="M442" s="4" t="s">
        <v>191</v>
      </c>
      <c r="N442" s="5"/>
      <c r="O442" s="5"/>
      <c r="P442" s="5"/>
      <c r="R442" s="5"/>
      <c r="S442" s="5"/>
      <c r="V442" s="5"/>
      <c r="W442" s="10" t="s">
        <v>1786</v>
      </c>
    </row>
    <row r="443" spans="1:23" x14ac:dyDescent="0.15">
      <c r="A443" s="2" t="s">
        <v>93</v>
      </c>
      <c r="C443" s="2" t="s">
        <v>924</v>
      </c>
      <c r="D443" s="2" t="s">
        <v>697</v>
      </c>
      <c r="E443" s="1"/>
      <c r="F443" s="2" t="s">
        <v>73</v>
      </c>
      <c r="G443" s="2">
        <v>10.5</v>
      </c>
      <c r="H443" s="2" t="str">
        <f t="shared" si="15"/>
        <v>W</v>
      </c>
      <c r="I443" s="5">
        <v>152.80000000000001</v>
      </c>
      <c r="J443" s="5">
        <v>351190</v>
      </c>
      <c r="K443" s="5"/>
      <c r="L443" s="5">
        <v>80.2</v>
      </c>
      <c r="M443" s="2" t="s">
        <v>191</v>
      </c>
      <c r="N443" s="5">
        <v>52.36</v>
      </c>
      <c r="O443" s="5"/>
      <c r="P443" s="5">
        <v>75.52</v>
      </c>
      <c r="Q443" s="2" t="s">
        <v>376</v>
      </c>
      <c r="R443" s="5">
        <v>6057.2</v>
      </c>
      <c r="S443" s="5">
        <v>1.72</v>
      </c>
      <c r="V443" s="5"/>
      <c r="W443" s="6" t="s">
        <v>3194</v>
      </c>
    </row>
    <row r="444" spans="1:23" x14ac:dyDescent="0.15">
      <c r="A444" s="4" t="s">
        <v>93</v>
      </c>
      <c r="C444" s="4" t="s">
        <v>924</v>
      </c>
      <c r="D444" s="4" t="s">
        <v>697</v>
      </c>
      <c r="E444" s="1"/>
      <c r="F444" s="4" t="s">
        <v>73</v>
      </c>
      <c r="G444" s="4">
        <v>9.6199999999999992</v>
      </c>
      <c r="H444" s="2" t="str">
        <f t="shared" si="15"/>
        <v>W</v>
      </c>
      <c r="I444" s="5">
        <v>153.80000000000001</v>
      </c>
      <c r="J444" s="5"/>
      <c r="K444" s="33"/>
      <c r="L444" s="33">
        <v>79.459999999999994</v>
      </c>
      <c r="M444" s="4" t="s">
        <v>191</v>
      </c>
      <c r="N444" s="33"/>
      <c r="O444" s="33"/>
      <c r="P444" s="33"/>
      <c r="Q444" s="4"/>
      <c r="R444" s="33"/>
      <c r="S444" s="33"/>
      <c r="T444" s="4"/>
      <c r="U444" s="4"/>
      <c r="V444" s="33"/>
      <c r="W444" s="10" t="s">
        <v>1789</v>
      </c>
    </row>
    <row r="445" spans="1:23" x14ac:dyDescent="0.15">
      <c r="A445" s="2" t="s">
        <v>93</v>
      </c>
      <c r="C445" s="2" t="s">
        <v>924</v>
      </c>
      <c r="D445" s="2" t="s">
        <v>697</v>
      </c>
      <c r="E445" s="1"/>
      <c r="F445" s="2" t="s">
        <v>73</v>
      </c>
      <c r="G445" s="2">
        <v>10.3</v>
      </c>
      <c r="H445" s="2" t="str">
        <f t="shared" si="15"/>
        <v>W</v>
      </c>
      <c r="I445" s="5">
        <f>147*0.952</f>
        <v>139.94399999999999</v>
      </c>
      <c r="J445" s="5">
        <v>296677</v>
      </c>
      <c r="K445" s="5"/>
      <c r="L445" s="5">
        <v>65.3</v>
      </c>
      <c r="M445" s="2" t="s">
        <v>191</v>
      </c>
      <c r="N445" s="5"/>
      <c r="O445" s="5"/>
      <c r="P445" s="5"/>
      <c r="R445" s="5"/>
      <c r="S445" s="5"/>
      <c r="V445" s="5"/>
      <c r="W445" s="6" t="s">
        <v>3195</v>
      </c>
    </row>
    <row r="446" spans="1:23" x14ac:dyDescent="0.15">
      <c r="A446" s="2" t="s">
        <v>93</v>
      </c>
      <c r="C446" s="2" t="s">
        <v>924</v>
      </c>
      <c r="D446" s="2" t="s">
        <v>697</v>
      </c>
      <c r="E446" s="1"/>
      <c r="F446" s="2" t="s">
        <v>203</v>
      </c>
      <c r="G446" s="2">
        <v>4.8600000000000003</v>
      </c>
      <c r="H446" s="2" t="str">
        <f t="shared" si="15"/>
        <v>W</v>
      </c>
      <c r="I446" s="5"/>
      <c r="J446" s="5"/>
      <c r="K446" s="5"/>
      <c r="L446" s="5">
        <v>84.81</v>
      </c>
      <c r="M446" s="2" t="s">
        <v>191</v>
      </c>
      <c r="N446" s="5"/>
      <c r="O446" s="5"/>
      <c r="P446" s="5"/>
      <c r="R446" s="5"/>
      <c r="S446" s="5"/>
      <c r="T446" s="2" t="s">
        <v>5442</v>
      </c>
      <c r="V446" s="5"/>
      <c r="W446" s="6" t="s">
        <v>3196</v>
      </c>
    </row>
    <row r="447" spans="1:23" x14ac:dyDescent="0.15">
      <c r="A447" s="2" t="s">
        <v>93</v>
      </c>
      <c r="C447" s="2" t="s">
        <v>924</v>
      </c>
      <c r="D447" s="2" t="s">
        <v>697</v>
      </c>
      <c r="E447" s="1"/>
      <c r="F447" s="2" t="s">
        <v>912</v>
      </c>
      <c r="G447" s="2">
        <v>6.58</v>
      </c>
      <c r="H447" s="2" t="str">
        <f t="shared" si="15"/>
        <v>W</v>
      </c>
      <c r="I447" s="5"/>
      <c r="J447" s="5"/>
      <c r="K447" s="5"/>
      <c r="L447" s="5"/>
      <c r="M447" s="2" t="s">
        <v>191</v>
      </c>
      <c r="N447" s="5">
        <v>52.78</v>
      </c>
      <c r="O447" s="5">
        <v>52.22</v>
      </c>
      <c r="P447" s="5">
        <v>71.959999999999994</v>
      </c>
      <c r="Q447" s="2" t="s">
        <v>18</v>
      </c>
      <c r="R447" s="5"/>
      <c r="S447" s="5"/>
      <c r="V447" s="5"/>
      <c r="W447" s="6" t="s">
        <v>3266</v>
      </c>
    </row>
    <row r="448" spans="1:23" x14ac:dyDescent="0.15">
      <c r="A448" s="2" t="s">
        <v>93</v>
      </c>
      <c r="C448" s="2" t="s">
        <v>924</v>
      </c>
      <c r="D448" s="2" t="s">
        <v>697</v>
      </c>
      <c r="E448" s="1"/>
      <c r="F448" s="2" t="s">
        <v>94</v>
      </c>
      <c r="G448" s="9">
        <v>5.5</v>
      </c>
      <c r="H448" s="2" t="str">
        <f t="shared" si="15"/>
        <v>W</v>
      </c>
      <c r="I448" s="5">
        <v>163.4</v>
      </c>
      <c r="J448" s="5">
        <v>427907</v>
      </c>
      <c r="K448" s="5"/>
      <c r="L448" s="5">
        <v>84.3</v>
      </c>
      <c r="M448" s="2" t="s">
        <v>191</v>
      </c>
      <c r="N448" s="5">
        <v>50.38</v>
      </c>
      <c r="O448" s="5"/>
      <c r="P448" s="5">
        <v>87.88</v>
      </c>
      <c r="Q448" s="2" t="s">
        <v>18</v>
      </c>
      <c r="R448" s="5">
        <v>7408.3</v>
      </c>
      <c r="S448" s="5">
        <v>1.73</v>
      </c>
      <c r="V448" s="5"/>
      <c r="W448" s="6" t="s">
        <v>3197</v>
      </c>
    </row>
    <row r="449" spans="1:23" x14ac:dyDescent="0.15">
      <c r="A449" s="2" t="s">
        <v>93</v>
      </c>
      <c r="C449" s="2" t="s">
        <v>924</v>
      </c>
      <c r="D449" s="2" t="s">
        <v>697</v>
      </c>
      <c r="E449" s="1"/>
      <c r="F449" s="2" t="s">
        <v>94</v>
      </c>
      <c r="G449" s="2">
        <v>5.69</v>
      </c>
      <c r="H449" s="2" t="str">
        <f t="shared" si="15"/>
        <v>W</v>
      </c>
      <c r="I449" s="5">
        <v>154.6</v>
      </c>
      <c r="J449" s="5">
        <v>339300</v>
      </c>
      <c r="K449" s="5"/>
      <c r="L449" s="5"/>
      <c r="M449" s="2" t="s">
        <v>191</v>
      </c>
      <c r="N449" s="5"/>
      <c r="O449" s="5"/>
      <c r="P449" s="5"/>
      <c r="R449" s="5"/>
      <c r="S449" s="5"/>
      <c r="T449" s="9">
        <v>7.52</v>
      </c>
      <c r="U449" s="2" t="str">
        <f>IF(T449&lt;=1, "1",IF(AND(T449&gt;1,T449&lt;4), "2-3", "+4"))</f>
        <v>+4</v>
      </c>
      <c r="V449" s="5"/>
      <c r="W449" s="6" t="s">
        <v>3406</v>
      </c>
    </row>
    <row r="450" spans="1:23" x14ac:dyDescent="0.15">
      <c r="A450" s="2" t="s">
        <v>93</v>
      </c>
      <c r="C450" s="2" t="s">
        <v>924</v>
      </c>
      <c r="D450" s="2" t="s">
        <v>697</v>
      </c>
      <c r="E450" s="1"/>
      <c r="F450" s="2" t="s">
        <v>94</v>
      </c>
      <c r="G450" s="2">
        <v>5.7</v>
      </c>
      <c r="H450" s="2" t="str">
        <f t="shared" si="15"/>
        <v>W</v>
      </c>
      <c r="I450" s="5"/>
      <c r="J450" s="5"/>
      <c r="K450" s="5">
        <v>62.5</v>
      </c>
      <c r="L450" s="5"/>
      <c r="M450" s="2" t="s">
        <v>191</v>
      </c>
      <c r="N450" s="5"/>
      <c r="O450" s="5"/>
      <c r="P450" s="5"/>
      <c r="R450" s="5"/>
      <c r="S450" s="5"/>
      <c r="V450" s="5"/>
      <c r="W450" s="6" t="s">
        <v>4036</v>
      </c>
    </row>
    <row r="451" spans="1:23" x14ac:dyDescent="0.15">
      <c r="A451" s="2" t="s">
        <v>93</v>
      </c>
      <c r="C451" s="2" t="s">
        <v>924</v>
      </c>
      <c r="D451" s="2" t="s">
        <v>697</v>
      </c>
      <c r="E451" s="1"/>
      <c r="F451" s="2" t="s">
        <v>3378</v>
      </c>
      <c r="G451" s="2">
        <v>18.309999999999999</v>
      </c>
      <c r="H451" s="2" t="str">
        <f t="shared" si="15"/>
        <v>W</v>
      </c>
      <c r="I451" s="5">
        <f>155.85*0.952</f>
        <v>148.36919999999998</v>
      </c>
      <c r="J451" s="5">
        <f xml:space="preserve"> (5.2076*155.85 - 468.84)*1000</f>
        <v>342764.46</v>
      </c>
      <c r="K451" s="5"/>
      <c r="L451" s="5">
        <v>69.5</v>
      </c>
      <c r="M451" s="2" t="s">
        <v>191</v>
      </c>
      <c r="N451" s="5"/>
      <c r="O451" s="5"/>
      <c r="P451" s="5"/>
      <c r="R451" s="5"/>
      <c r="S451" s="5"/>
      <c r="T451" s="9">
        <v>6</v>
      </c>
      <c r="U451" s="2" t="str">
        <f>IF(T451&lt;=1, "1",IF(AND(T451&gt;1,T451&lt;4), "2-3", "+4"))</f>
        <v>+4</v>
      </c>
      <c r="V451" s="5"/>
      <c r="W451" s="6" t="s">
        <v>3407</v>
      </c>
    </row>
    <row r="452" spans="1:23" x14ac:dyDescent="0.15">
      <c r="A452" s="2" t="s">
        <v>93</v>
      </c>
      <c r="C452" s="2" t="s">
        <v>924</v>
      </c>
      <c r="D452" s="2" t="s">
        <v>697</v>
      </c>
      <c r="E452" s="1"/>
      <c r="F452" s="2" t="s">
        <v>3377</v>
      </c>
      <c r="G452" s="2">
        <v>5.8</v>
      </c>
      <c r="H452" s="2" t="str">
        <f t="shared" si="15"/>
        <v>W</v>
      </c>
      <c r="I452" s="5">
        <f>154.8*0.952</f>
        <v>147.36959999999999</v>
      </c>
      <c r="J452" s="5">
        <f xml:space="preserve"> (5.2076*154.8 - 468.84)*1000</f>
        <v>337296.48000000016</v>
      </c>
      <c r="K452" s="5"/>
      <c r="L452" s="5"/>
      <c r="M452" s="2" t="s">
        <v>191</v>
      </c>
      <c r="N452" s="5"/>
      <c r="O452" s="5"/>
      <c r="P452" s="5"/>
      <c r="R452" s="5"/>
      <c r="S452" s="5"/>
      <c r="T452" s="9">
        <f>MEDIAN(4,5)</f>
        <v>4.5</v>
      </c>
      <c r="U452" s="2" t="str">
        <f>IF(T452&lt;=1, "1",IF(AND(T452&gt;1,T452&lt;4), "2-3", "+4"))</f>
        <v>+4</v>
      </c>
      <c r="V452" s="5"/>
      <c r="W452" s="6" t="s">
        <v>3408</v>
      </c>
    </row>
    <row r="453" spans="1:23" x14ac:dyDescent="0.15">
      <c r="A453" s="2" t="s">
        <v>93</v>
      </c>
      <c r="C453" s="2" t="s">
        <v>924</v>
      </c>
      <c r="D453" s="2" t="s">
        <v>697</v>
      </c>
      <c r="E453" s="1"/>
      <c r="F453" s="2" t="s">
        <v>73</v>
      </c>
      <c r="G453" s="2">
        <v>10.58</v>
      </c>
      <c r="H453" s="2" t="str">
        <f t="shared" si="15"/>
        <v>W</v>
      </c>
      <c r="I453" s="5">
        <v>152.1</v>
      </c>
      <c r="J453" s="5">
        <v>342312</v>
      </c>
      <c r="K453" s="5"/>
      <c r="L453" s="5">
        <v>81.569999999999993</v>
      </c>
      <c r="M453" s="2" t="s">
        <v>191</v>
      </c>
      <c r="N453" s="5">
        <v>52.12</v>
      </c>
      <c r="O453" s="5"/>
      <c r="P453" s="5">
        <v>85.01</v>
      </c>
      <c r="Q453" s="2" t="s">
        <v>18</v>
      </c>
      <c r="R453" s="5">
        <v>6934.3</v>
      </c>
      <c r="S453" s="5">
        <v>2.0299999999999998</v>
      </c>
      <c r="V453" s="5"/>
      <c r="W453" s="6" t="s">
        <v>2980</v>
      </c>
    </row>
    <row r="454" spans="1:23" x14ac:dyDescent="0.15">
      <c r="A454" s="2" t="s">
        <v>93</v>
      </c>
      <c r="C454" s="2" t="s">
        <v>924</v>
      </c>
      <c r="D454" s="2" t="s">
        <v>697</v>
      </c>
      <c r="E454" s="1"/>
      <c r="F454" s="2" t="s">
        <v>392</v>
      </c>
      <c r="G454" s="2">
        <v>-6.88</v>
      </c>
      <c r="H454" s="2" t="str">
        <f t="shared" ref="H454:H479" si="16">IF(G454="captive","C","W")</f>
        <v>W</v>
      </c>
      <c r="I454" s="5">
        <v>153.69999999999999</v>
      </c>
      <c r="J454" s="5">
        <v>353677</v>
      </c>
      <c r="K454" s="5"/>
      <c r="L454" s="5">
        <v>88.2</v>
      </c>
      <c r="M454" s="2" t="s">
        <v>191</v>
      </c>
      <c r="N454" s="5">
        <v>52.2</v>
      </c>
      <c r="O454" s="5"/>
      <c r="P454" s="5">
        <v>81.05</v>
      </c>
      <c r="Q454" s="2" t="s">
        <v>18</v>
      </c>
      <c r="R454" s="5">
        <v>7149</v>
      </c>
      <c r="S454" s="5">
        <v>2.02</v>
      </c>
      <c r="V454" s="5"/>
      <c r="W454" s="6" t="s">
        <v>2981</v>
      </c>
    </row>
    <row r="455" spans="1:23" x14ac:dyDescent="0.15">
      <c r="A455" s="2" t="s">
        <v>93</v>
      </c>
      <c r="C455" s="2" t="s">
        <v>924</v>
      </c>
      <c r="D455" s="2" t="s">
        <v>697</v>
      </c>
      <c r="E455" s="1"/>
      <c r="F455" s="2" t="s">
        <v>304</v>
      </c>
      <c r="G455" s="2">
        <v>-27.5</v>
      </c>
      <c r="H455" s="2" t="str">
        <f t="shared" si="16"/>
        <v>W</v>
      </c>
      <c r="I455" s="5">
        <v>159.6</v>
      </c>
      <c r="J455" s="5">
        <v>385407</v>
      </c>
      <c r="K455" s="5"/>
      <c r="L455" s="5"/>
      <c r="M455" s="2" t="s">
        <v>191</v>
      </c>
      <c r="N455" s="5"/>
      <c r="O455" s="5"/>
      <c r="P455" s="5"/>
      <c r="R455" s="5"/>
      <c r="S455" s="5"/>
      <c r="V455" s="5"/>
      <c r="W455" s="6" t="s">
        <v>3198</v>
      </c>
    </row>
    <row r="456" spans="1:23" x14ac:dyDescent="0.15">
      <c r="A456" s="2" t="s">
        <v>93</v>
      </c>
      <c r="C456" s="2" t="s">
        <v>924</v>
      </c>
      <c r="D456" s="2" t="s">
        <v>697</v>
      </c>
      <c r="E456" s="1"/>
      <c r="F456" s="2" t="s">
        <v>73</v>
      </c>
      <c r="G456" s="2">
        <v>10.5</v>
      </c>
      <c r="H456" s="2" t="str">
        <f t="shared" si="16"/>
        <v>W</v>
      </c>
      <c r="I456" s="5">
        <v>151.1</v>
      </c>
      <c r="J456" s="5">
        <v>346800</v>
      </c>
      <c r="K456" s="5"/>
      <c r="L456" s="5">
        <v>83</v>
      </c>
      <c r="M456" s="2" t="s">
        <v>191</v>
      </c>
      <c r="N456" s="5">
        <v>54</v>
      </c>
      <c r="O456" s="5"/>
      <c r="P456" s="5">
        <v>84.3</v>
      </c>
      <c r="Q456" s="2" t="s">
        <v>18</v>
      </c>
      <c r="R456" s="5">
        <v>6996.9</v>
      </c>
      <c r="S456" s="5">
        <v>2.02</v>
      </c>
      <c r="V456" s="5"/>
      <c r="W456" s="6" t="s">
        <v>3199</v>
      </c>
    </row>
    <row r="457" spans="1:23" x14ac:dyDescent="0.15">
      <c r="A457" s="2" t="s">
        <v>93</v>
      </c>
      <c r="C457" s="2" t="s">
        <v>924</v>
      </c>
      <c r="D457" s="2" t="s">
        <v>697</v>
      </c>
      <c r="E457" s="1"/>
      <c r="F457" s="2" t="s">
        <v>59</v>
      </c>
      <c r="G457" s="2">
        <v>-24.87</v>
      </c>
      <c r="H457" s="2" t="str">
        <f t="shared" si="16"/>
        <v>W</v>
      </c>
      <c r="I457" s="5">
        <v>155.9</v>
      </c>
      <c r="J457" s="5">
        <v>369717</v>
      </c>
      <c r="K457" s="5"/>
      <c r="L457" s="5">
        <v>87</v>
      </c>
      <c r="M457" s="2" t="s">
        <v>191</v>
      </c>
      <c r="N457" s="5">
        <v>52.94</v>
      </c>
      <c r="O457" s="5"/>
      <c r="P457" s="5">
        <v>83.37</v>
      </c>
      <c r="Q457" s="2" t="s">
        <v>18</v>
      </c>
      <c r="R457" s="5">
        <v>7253</v>
      </c>
      <c r="S457" s="5">
        <v>1.96</v>
      </c>
      <c r="V457" s="5"/>
      <c r="W457" s="6" t="s">
        <v>2982</v>
      </c>
    </row>
    <row r="458" spans="1:23" x14ac:dyDescent="0.15">
      <c r="A458" s="2" t="s">
        <v>93</v>
      </c>
      <c r="C458" s="2" t="s">
        <v>924</v>
      </c>
      <c r="D458" s="2" t="s">
        <v>697</v>
      </c>
      <c r="E458" s="1"/>
      <c r="F458" s="2" t="s">
        <v>59</v>
      </c>
      <c r="G458" s="2">
        <v>-24.32</v>
      </c>
      <c r="H458" s="2" t="str">
        <f t="shared" si="16"/>
        <v>W</v>
      </c>
      <c r="I458" s="5">
        <v>154.69999999999999</v>
      </c>
      <c r="J458" s="5">
        <v>360908</v>
      </c>
      <c r="K458" s="33"/>
      <c r="L458" s="5">
        <v>82.79</v>
      </c>
      <c r="M458" s="2" t="s">
        <v>191</v>
      </c>
      <c r="N458" s="5">
        <v>53.2</v>
      </c>
      <c r="O458" s="5"/>
      <c r="P458" s="5">
        <f xml:space="preserve"> (4.206*N458) - 144.7</f>
        <v>79.059200000000033</v>
      </c>
      <c r="Q458" s="2" t="s">
        <v>376</v>
      </c>
      <c r="R458" s="5">
        <f>P458*L458</f>
        <v>6545.3111680000029</v>
      </c>
      <c r="S458" s="5">
        <f>(R458/J458)*100</f>
        <v>1.8135677701796589</v>
      </c>
      <c r="T458" s="2" t="s">
        <v>382</v>
      </c>
      <c r="U458" s="40" t="s">
        <v>395</v>
      </c>
      <c r="V458" s="5"/>
      <c r="W458" s="6" t="s">
        <v>2983</v>
      </c>
    </row>
    <row r="459" spans="1:23" x14ac:dyDescent="0.15">
      <c r="A459" s="4" t="s">
        <v>93</v>
      </c>
      <c r="C459" s="4" t="s">
        <v>924</v>
      </c>
      <c r="D459" s="4" t="s">
        <v>697</v>
      </c>
      <c r="E459" s="1"/>
      <c r="F459" s="4" t="s">
        <v>95</v>
      </c>
      <c r="G459" s="4">
        <v>16.43</v>
      </c>
      <c r="H459" s="2" t="str">
        <f t="shared" si="16"/>
        <v>W</v>
      </c>
      <c r="I459" s="5">
        <v>143.80000000000001</v>
      </c>
      <c r="J459" s="5">
        <f>(0.000052966*I459^3.121)*1000</f>
        <v>287317.88413522061</v>
      </c>
      <c r="K459" s="33"/>
      <c r="L459" s="33">
        <v>62</v>
      </c>
      <c r="M459" s="4" t="s">
        <v>191</v>
      </c>
      <c r="N459" s="33"/>
      <c r="O459" s="5"/>
      <c r="P459" s="5"/>
      <c r="R459" s="5"/>
      <c r="S459" s="5"/>
      <c r="T459" s="2">
        <v>5.5</v>
      </c>
      <c r="U459" s="2" t="str">
        <f>IF(T459&lt;=1, "1",IF(AND(T459&gt;1,T459&lt;4), "2-3", "+4"))</f>
        <v>+4</v>
      </c>
      <c r="V459" s="33"/>
      <c r="W459" s="10" t="s">
        <v>1787</v>
      </c>
    </row>
    <row r="460" spans="1:23" x14ac:dyDescent="0.15">
      <c r="A460" s="4" t="s">
        <v>93</v>
      </c>
      <c r="C460" s="4" t="s">
        <v>924</v>
      </c>
      <c r="D460" s="4" t="s">
        <v>697</v>
      </c>
      <c r="E460" s="1"/>
      <c r="F460" s="4" t="s">
        <v>96</v>
      </c>
      <c r="G460" s="4">
        <v>10.3</v>
      </c>
      <c r="H460" s="2" t="str">
        <f t="shared" si="16"/>
        <v>W</v>
      </c>
      <c r="I460" s="5">
        <v>146.04000000000002</v>
      </c>
      <c r="J460" s="5">
        <f>(0.000052966*I460^3.121)*1000</f>
        <v>301518.34438034933</v>
      </c>
      <c r="K460" s="33"/>
      <c r="L460" s="33">
        <v>63.16</v>
      </c>
      <c r="M460" s="4" t="s">
        <v>191</v>
      </c>
      <c r="N460" s="33"/>
      <c r="O460" s="5"/>
      <c r="P460" s="5"/>
      <c r="R460" s="5"/>
      <c r="S460" s="5"/>
      <c r="T460" s="2">
        <v>3.5</v>
      </c>
      <c r="U460" s="2" t="str">
        <f>IF(T460&lt;=1, "1",IF(AND(T460&gt;1,T460&lt;4), "2-3", "+4"))</f>
        <v>2-3</v>
      </c>
      <c r="V460" s="33"/>
      <c r="W460" s="10" t="s">
        <v>1788</v>
      </c>
    </row>
    <row r="461" spans="1:23" x14ac:dyDescent="0.15">
      <c r="A461" s="2" t="s">
        <v>93</v>
      </c>
      <c r="C461" s="2" t="s">
        <v>924</v>
      </c>
      <c r="D461" s="2" t="s">
        <v>697</v>
      </c>
      <c r="E461" s="1"/>
      <c r="F461" s="2" t="s">
        <v>73</v>
      </c>
      <c r="G461" s="2">
        <v>10.34</v>
      </c>
      <c r="H461" s="2" t="str">
        <f t="shared" si="16"/>
        <v>W</v>
      </c>
      <c r="I461" s="5">
        <f>146*0.952</f>
        <v>138.99199999999999</v>
      </c>
      <c r="J461" s="5">
        <f xml:space="preserve"> (5.2076*146 - 468.84)*1000</f>
        <v>291469.60000000009</v>
      </c>
      <c r="K461" s="5"/>
      <c r="L461" s="5">
        <v>64.099999999999994</v>
      </c>
      <c r="M461" s="4" t="s">
        <v>191</v>
      </c>
      <c r="N461" s="5"/>
      <c r="O461" s="5"/>
      <c r="P461" s="5"/>
      <c r="R461" s="5"/>
      <c r="S461" s="5"/>
      <c r="T461" s="9">
        <v>7.15</v>
      </c>
      <c r="U461" s="2" t="str">
        <f>IF(T461&lt;=1, "1",IF(AND(T461&gt;1,T461&lt;4), "2-3", "+4"))</f>
        <v>+4</v>
      </c>
      <c r="V461" s="5"/>
      <c r="W461" s="6" t="s">
        <v>3409</v>
      </c>
    </row>
    <row r="462" spans="1:23" x14ac:dyDescent="0.15">
      <c r="A462" s="2" t="s">
        <v>93</v>
      </c>
      <c r="C462" s="2" t="s">
        <v>924</v>
      </c>
      <c r="D462" s="2" t="s">
        <v>697</v>
      </c>
      <c r="E462" s="1"/>
      <c r="F462" s="2" t="s">
        <v>3377</v>
      </c>
      <c r="G462" s="2">
        <v>5.8</v>
      </c>
      <c r="H462" s="2" t="str">
        <f t="shared" si="16"/>
        <v>W</v>
      </c>
      <c r="I462" s="5">
        <v>157.5</v>
      </c>
      <c r="J462" s="5">
        <v>374800</v>
      </c>
      <c r="K462" s="5"/>
      <c r="L462" s="5">
        <v>85</v>
      </c>
      <c r="M462" s="4" t="s">
        <v>191</v>
      </c>
      <c r="N462" s="5">
        <v>53</v>
      </c>
      <c r="O462" s="5">
        <v>53</v>
      </c>
      <c r="P462" s="5">
        <f xml:space="preserve"> (4.206*N462) - 144.7</f>
        <v>78.218000000000046</v>
      </c>
      <c r="Q462" s="2" t="s">
        <v>376</v>
      </c>
      <c r="R462" s="5">
        <v>6648.7</v>
      </c>
      <c r="S462" s="5">
        <v>1.77</v>
      </c>
      <c r="V462" s="5"/>
      <c r="W462" s="6" t="s">
        <v>3453</v>
      </c>
    </row>
    <row r="463" spans="1:23" x14ac:dyDescent="0.15">
      <c r="A463" s="2" t="s">
        <v>93</v>
      </c>
      <c r="C463" s="2" t="s">
        <v>924</v>
      </c>
      <c r="D463" s="2" t="s">
        <v>697</v>
      </c>
      <c r="E463" s="1"/>
      <c r="F463" s="2" t="s">
        <v>73</v>
      </c>
      <c r="G463" s="2">
        <v>10.33</v>
      </c>
      <c r="H463" s="2" t="str">
        <f t="shared" si="16"/>
        <v>W</v>
      </c>
      <c r="I463" s="5">
        <v>151.44999999999999</v>
      </c>
      <c r="J463" s="5">
        <v>344396</v>
      </c>
      <c r="K463" s="5"/>
      <c r="L463" s="5"/>
      <c r="M463" s="2" t="s">
        <v>191</v>
      </c>
      <c r="N463" s="5"/>
      <c r="O463" s="5"/>
      <c r="P463" s="5"/>
      <c r="R463" s="5"/>
      <c r="S463" s="5"/>
      <c r="T463" s="2">
        <v>5</v>
      </c>
      <c r="U463" s="2" t="str">
        <f>IF(T463&lt;=1, "1",IF(AND(T463&gt;1,T463&lt;4), "2-3", "+4"))</f>
        <v>+4</v>
      </c>
      <c r="V463" s="5"/>
      <c r="W463" s="6" t="s">
        <v>3200</v>
      </c>
    </row>
    <row r="464" spans="1:23" x14ac:dyDescent="0.15">
      <c r="A464" s="2" t="s">
        <v>93</v>
      </c>
      <c r="C464" s="2" t="s">
        <v>924</v>
      </c>
      <c r="D464" s="2" t="s">
        <v>697</v>
      </c>
      <c r="E464" s="1"/>
      <c r="F464" s="2" t="s">
        <v>26</v>
      </c>
      <c r="G464" s="2">
        <v>-19</v>
      </c>
      <c r="H464" s="2" t="str">
        <f t="shared" si="16"/>
        <v>W</v>
      </c>
      <c r="I464" s="5">
        <f>159.8*0.952</f>
        <v>152.12960000000001</v>
      </c>
      <c r="J464" s="5">
        <f xml:space="preserve"> (5.2076*159.8 - 468.84)*1000</f>
        <v>363334.48000000016</v>
      </c>
      <c r="K464" s="5"/>
      <c r="L464" s="5">
        <v>87.7</v>
      </c>
      <c r="M464" s="4" t="s">
        <v>191</v>
      </c>
      <c r="N464" s="5"/>
      <c r="O464" s="5"/>
      <c r="P464" s="5"/>
      <c r="R464" s="5"/>
      <c r="S464" s="5"/>
      <c r="T464" s="9"/>
      <c r="U464" s="9"/>
      <c r="V464" s="5"/>
      <c r="W464" s="6" t="s">
        <v>3410</v>
      </c>
    </row>
    <row r="465" spans="1:24" x14ac:dyDescent="0.15">
      <c r="A465" s="2" t="s">
        <v>93</v>
      </c>
      <c r="C465" s="2" t="s">
        <v>924</v>
      </c>
      <c r="D465" s="2" t="s">
        <v>697</v>
      </c>
      <c r="E465" s="1"/>
      <c r="F465" s="2" t="s">
        <v>3123</v>
      </c>
      <c r="G465" s="2">
        <v>18.329999999999998</v>
      </c>
      <c r="H465" s="2" t="str">
        <f t="shared" si="16"/>
        <v>W</v>
      </c>
      <c r="I465" s="5">
        <v>147</v>
      </c>
      <c r="J465" s="5">
        <f xml:space="preserve"> (5.032*I465 - 417.7)*1000</f>
        <v>322003.99999999994</v>
      </c>
      <c r="K465" s="5"/>
      <c r="L465" s="5">
        <v>70.08</v>
      </c>
      <c r="M465" s="2" t="s">
        <v>191</v>
      </c>
      <c r="N465" s="5"/>
      <c r="O465" s="5"/>
      <c r="P465" s="5"/>
      <c r="R465" s="5"/>
      <c r="S465" s="5"/>
      <c r="T465" s="2">
        <v>6.7249999999999996</v>
      </c>
      <c r="U465" s="2" t="str">
        <f>IF(T465&lt;=1, "1",IF(AND(T465&gt;1,T465&lt;4), "2-3", "+4"))</f>
        <v>+4</v>
      </c>
      <c r="V465" s="5"/>
      <c r="W465" s="6" t="s">
        <v>3201</v>
      </c>
    </row>
    <row r="466" spans="1:24" x14ac:dyDescent="0.15">
      <c r="A466" s="17" t="s">
        <v>93</v>
      </c>
      <c r="B466" s="17"/>
      <c r="C466" s="17" t="s">
        <v>924</v>
      </c>
      <c r="D466" s="17" t="s">
        <v>697</v>
      </c>
      <c r="E466" s="18"/>
      <c r="F466" s="17" t="s">
        <v>3121</v>
      </c>
      <c r="G466" s="17" t="s">
        <v>3121</v>
      </c>
      <c r="H466" s="17" t="str">
        <f t="shared" si="16"/>
        <v>W</v>
      </c>
      <c r="I466" s="38">
        <v>153.69999999999999</v>
      </c>
      <c r="J466" s="38">
        <v>353677</v>
      </c>
      <c r="K466" s="38"/>
      <c r="L466" s="38">
        <v>81.53</v>
      </c>
      <c r="M466" s="17" t="s">
        <v>191</v>
      </c>
      <c r="N466" s="38">
        <v>53.36</v>
      </c>
      <c r="O466" s="38"/>
      <c r="P466" s="38">
        <v>75.989999999999995</v>
      </c>
      <c r="Q466" s="17" t="s">
        <v>18</v>
      </c>
      <c r="R466" s="38">
        <v>6195</v>
      </c>
      <c r="S466" s="38">
        <v>1.75</v>
      </c>
      <c r="T466" s="17">
        <v>6.2</v>
      </c>
      <c r="U466" s="2" t="str">
        <f>IF(T466&lt;=1, "1",IF(AND(T466&gt;1,T466&lt;4), "2-3", "+4"))</f>
        <v>+4</v>
      </c>
      <c r="V466" s="38">
        <f>S466*T466</f>
        <v>10.85</v>
      </c>
      <c r="W466" s="20" t="s">
        <v>3132</v>
      </c>
      <c r="X466" s="17"/>
    </row>
    <row r="467" spans="1:24" x14ac:dyDescent="0.15">
      <c r="A467" s="2" t="s">
        <v>97</v>
      </c>
      <c r="B467" s="2" t="s">
        <v>3933</v>
      </c>
      <c r="C467" s="2" t="s">
        <v>3480</v>
      </c>
      <c r="D467" s="2" t="s">
        <v>698</v>
      </c>
      <c r="E467" s="1" t="s">
        <v>3699</v>
      </c>
      <c r="F467" s="2" t="s">
        <v>3379</v>
      </c>
      <c r="G467" s="2">
        <v>43.22</v>
      </c>
      <c r="H467" s="2" t="str">
        <f t="shared" si="16"/>
        <v>W</v>
      </c>
      <c r="I467" s="5">
        <f>MEDIAN(16,17.1)</f>
        <v>16.55</v>
      </c>
      <c r="J467" s="5">
        <f>18.22*10^(0.0102*(I467*10))</f>
        <v>888.48146583485038</v>
      </c>
      <c r="K467" s="5"/>
      <c r="L467" s="5">
        <v>7.25</v>
      </c>
      <c r="M467" s="2" t="s">
        <v>571</v>
      </c>
      <c r="N467" s="5"/>
      <c r="O467" s="5"/>
      <c r="P467" s="5"/>
      <c r="R467" s="5"/>
      <c r="S467" s="5"/>
      <c r="V467" s="5"/>
      <c r="W467" s="6" t="s">
        <v>3411</v>
      </c>
    </row>
    <row r="468" spans="1:24" x14ac:dyDescent="0.15">
      <c r="A468" s="2" t="s">
        <v>97</v>
      </c>
      <c r="B468" s="2" t="s">
        <v>3933</v>
      </c>
      <c r="C468" s="2" t="s">
        <v>3480</v>
      </c>
      <c r="D468" s="2" t="s">
        <v>698</v>
      </c>
      <c r="E468" s="1" t="s">
        <v>3699</v>
      </c>
      <c r="F468" s="2" t="s">
        <v>102</v>
      </c>
      <c r="G468" s="2">
        <v>36.700000000000003</v>
      </c>
      <c r="H468" s="2" t="str">
        <f t="shared" si="16"/>
        <v>W</v>
      </c>
      <c r="I468" s="5">
        <v>15.83</v>
      </c>
      <c r="J468" s="5">
        <v>719.2</v>
      </c>
      <c r="K468" s="5">
        <v>4.4000000000000004</v>
      </c>
      <c r="L468" s="5">
        <v>8.1999999999999993</v>
      </c>
      <c r="M468" s="2" t="s">
        <v>571</v>
      </c>
      <c r="N468" s="5"/>
      <c r="O468" s="5"/>
      <c r="P468" s="5"/>
      <c r="R468" s="5"/>
      <c r="S468" s="5"/>
      <c r="V468" s="5"/>
      <c r="W468" s="6" t="s">
        <v>1791</v>
      </c>
    </row>
    <row r="469" spans="1:24" x14ac:dyDescent="0.15">
      <c r="A469" s="2" t="s">
        <v>97</v>
      </c>
      <c r="B469" s="2" t="s">
        <v>3933</v>
      </c>
      <c r="C469" s="2" t="s">
        <v>3480</v>
      </c>
      <c r="D469" s="2" t="s">
        <v>698</v>
      </c>
      <c r="E469" s="1" t="s">
        <v>3699</v>
      </c>
      <c r="F469" s="2" t="s">
        <v>103</v>
      </c>
      <c r="G469" s="2">
        <v>36.200000000000003</v>
      </c>
      <c r="H469" s="2" t="str">
        <f t="shared" si="16"/>
        <v>W</v>
      </c>
      <c r="I469" s="5">
        <v>15.43</v>
      </c>
      <c r="J469" s="5">
        <v>683.8</v>
      </c>
      <c r="K469" s="5">
        <v>5.4</v>
      </c>
      <c r="L469" s="5">
        <v>8.5</v>
      </c>
      <c r="M469" s="2" t="s">
        <v>571</v>
      </c>
      <c r="N469" s="5"/>
      <c r="O469" s="5"/>
      <c r="P469" s="5"/>
      <c r="R469" s="5"/>
      <c r="S469" s="5"/>
      <c r="V469" s="5"/>
      <c r="W469" s="6" t="s">
        <v>1791</v>
      </c>
    </row>
    <row r="470" spans="1:24" x14ac:dyDescent="0.15">
      <c r="A470" s="2" t="s">
        <v>97</v>
      </c>
      <c r="B470" s="2" t="s">
        <v>3933</v>
      </c>
      <c r="C470" s="2" t="s">
        <v>3480</v>
      </c>
      <c r="D470" s="2" t="s">
        <v>698</v>
      </c>
      <c r="E470" s="1" t="s">
        <v>3699</v>
      </c>
      <c r="F470" s="2" t="s">
        <v>99</v>
      </c>
      <c r="G470" s="2">
        <v>35.56</v>
      </c>
      <c r="H470" s="2" t="str">
        <f t="shared" si="16"/>
        <v>W</v>
      </c>
      <c r="I470" s="5">
        <v>14.27</v>
      </c>
      <c r="J470" s="5">
        <v>547.70000000000005</v>
      </c>
      <c r="K470" s="5"/>
      <c r="L470" s="5">
        <v>7</v>
      </c>
      <c r="M470" s="2" t="s">
        <v>571</v>
      </c>
      <c r="N470" s="5"/>
      <c r="O470" s="5"/>
      <c r="P470" s="5"/>
      <c r="R470" s="5"/>
      <c r="S470" s="5"/>
      <c r="V470" s="5"/>
      <c r="W470" s="6" t="s">
        <v>1790</v>
      </c>
    </row>
    <row r="471" spans="1:24" x14ac:dyDescent="0.15">
      <c r="A471" s="2" t="s">
        <v>97</v>
      </c>
      <c r="B471" s="2" t="s">
        <v>3933</v>
      </c>
      <c r="C471" s="2" t="s">
        <v>3480</v>
      </c>
      <c r="D471" s="2" t="s">
        <v>698</v>
      </c>
      <c r="E471" s="1" t="s">
        <v>3699</v>
      </c>
      <c r="F471" s="2" t="s">
        <v>3925</v>
      </c>
      <c r="G471" s="2">
        <v>36.07</v>
      </c>
      <c r="H471" s="2" t="str">
        <f t="shared" si="16"/>
        <v>W</v>
      </c>
      <c r="I471" s="5">
        <v>16.25</v>
      </c>
      <c r="J471" s="5">
        <v>675.1</v>
      </c>
      <c r="K471" s="5"/>
      <c r="L471" s="5">
        <v>7.3</v>
      </c>
      <c r="M471" s="2" t="s">
        <v>571</v>
      </c>
      <c r="N471" s="5"/>
      <c r="O471" s="5"/>
      <c r="P471" s="5"/>
      <c r="R471" s="5"/>
      <c r="S471" s="5"/>
      <c r="V471" s="5"/>
      <c r="W471" s="6" t="s">
        <v>3926</v>
      </c>
    </row>
    <row r="472" spans="1:24" x14ac:dyDescent="0.15">
      <c r="A472" s="2" t="s">
        <v>97</v>
      </c>
      <c r="B472" s="2" t="s">
        <v>3933</v>
      </c>
      <c r="C472" s="2" t="s">
        <v>3480</v>
      </c>
      <c r="D472" s="2" t="s">
        <v>698</v>
      </c>
      <c r="E472" s="1" t="s">
        <v>3699</v>
      </c>
      <c r="F472" s="2" t="s">
        <v>101</v>
      </c>
      <c r="G472" s="2">
        <v>34.700000000000003</v>
      </c>
      <c r="H472" s="2" t="str">
        <f t="shared" si="16"/>
        <v>W</v>
      </c>
      <c r="I472" s="5">
        <v>14.48</v>
      </c>
      <c r="J472" s="5">
        <v>448.7</v>
      </c>
      <c r="K472" s="5">
        <v>4</v>
      </c>
      <c r="L472" s="5">
        <v>5.2</v>
      </c>
      <c r="M472" s="2" t="s">
        <v>571</v>
      </c>
      <c r="N472" s="5"/>
      <c r="O472" s="5"/>
      <c r="P472" s="5"/>
      <c r="R472" s="5"/>
      <c r="S472" s="5"/>
      <c r="V472" s="5"/>
      <c r="W472" s="6" t="s">
        <v>1907</v>
      </c>
    </row>
    <row r="473" spans="1:24" x14ac:dyDescent="0.15">
      <c r="A473" s="2" t="s">
        <v>97</v>
      </c>
      <c r="B473" s="2" t="s">
        <v>3933</v>
      </c>
      <c r="C473" s="2" t="s">
        <v>3480</v>
      </c>
      <c r="D473" s="2" t="s">
        <v>698</v>
      </c>
      <c r="E473" s="1" t="s">
        <v>3699</v>
      </c>
      <c r="F473" s="2" t="s">
        <v>98</v>
      </c>
      <c r="G473" s="2">
        <v>34</v>
      </c>
      <c r="H473" s="2" t="str">
        <f t="shared" si="16"/>
        <v>W</v>
      </c>
      <c r="I473" s="5">
        <v>14.57</v>
      </c>
      <c r="J473" s="5">
        <v>549.4</v>
      </c>
      <c r="K473" s="5"/>
      <c r="L473" s="5">
        <v>6.3</v>
      </c>
      <c r="M473" s="2" t="s">
        <v>571</v>
      </c>
      <c r="N473" s="5"/>
      <c r="O473" s="5"/>
      <c r="P473" s="5"/>
      <c r="R473" s="5"/>
      <c r="S473" s="5"/>
      <c r="V473" s="5"/>
      <c r="W473" s="6" t="s">
        <v>1906</v>
      </c>
    </row>
    <row r="474" spans="1:24" x14ac:dyDescent="0.15">
      <c r="A474" s="2" t="s">
        <v>97</v>
      </c>
      <c r="B474" s="2" t="s">
        <v>3933</v>
      </c>
      <c r="C474" s="2" t="s">
        <v>3480</v>
      </c>
      <c r="D474" s="2" t="s">
        <v>698</v>
      </c>
      <c r="E474" s="1" t="s">
        <v>3699</v>
      </c>
      <c r="F474" s="2" t="s">
        <v>3563</v>
      </c>
      <c r="G474" s="2">
        <v>45.17</v>
      </c>
      <c r="H474" s="2" t="str">
        <f t="shared" si="16"/>
        <v>W</v>
      </c>
      <c r="I474" s="5">
        <v>15.282999999999999</v>
      </c>
      <c r="J474" s="5">
        <v>707.12</v>
      </c>
      <c r="K474" s="5">
        <v>14</v>
      </c>
      <c r="L474" s="5">
        <v>6.444</v>
      </c>
      <c r="M474" s="2" t="s">
        <v>571</v>
      </c>
      <c r="N474" s="5">
        <v>37.161999999999999</v>
      </c>
      <c r="O474" s="5"/>
      <c r="P474" s="5">
        <v>11.077500000000001</v>
      </c>
      <c r="Q474" s="2" t="s">
        <v>376</v>
      </c>
      <c r="R474" s="5">
        <f>P474*L474</f>
        <v>71.383409999999998</v>
      </c>
      <c r="S474" s="5">
        <f>(R474/J474)*100</f>
        <v>10.094949937775766</v>
      </c>
      <c r="T474" s="2">
        <v>1</v>
      </c>
      <c r="U474" s="2" t="str">
        <f>IF(T474&lt;=1, "1",IF(AND(T474&gt;1,T474&lt;4), "2-3", "+4"))</f>
        <v>1</v>
      </c>
      <c r="V474" s="5">
        <f>S474*T474</f>
        <v>10.094949937775766</v>
      </c>
      <c r="W474" s="6" t="s">
        <v>3564</v>
      </c>
    </row>
    <row r="475" spans="1:24" x14ac:dyDescent="0.15">
      <c r="A475" s="2" t="s">
        <v>97</v>
      </c>
      <c r="B475" s="2" t="s">
        <v>3933</v>
      </c>
      <c r="C475" s="2" t="s">
        <v>3480</v>
      </c>
      <c r="D475" s="2" t="s">
        <v>698</v>
      </c>
      <c r="E475" s="1" t="s">
        <v>3699</v>
      </c>
      <c r="F475" s="2" t="s">
        <v>309</v>
      </c>
      <c r="G475" s="2">
        <v>42.44</v>
      </c>
      <c r="H475" s="2" t="str">
        <f t="shared" si="16"/>
        <v>W</v>
      </c>
      <c r="I475" s="5"/>
      <c r="J475" s="5"/>
      <c r="K475" s="5">
        <v>11</v>
      </c>
      <c r="L475" s="5"/>
      <c r="N475" s="5"/>
      <c r="O475" s="5"/>
      <c r="P475" s="5"/>
      <c r="R475" s="5"/>
      <c r="S475" s="5"/>
      <c r="V475" s="5"/>
      <c r="W475" s="6" t="s">
        <v>4059</v>
      </c>
    </row>
    <row r="476" spans="1:24" x14ac:dyDescent="0.15">
      <c r="A476" s="2" t="s">
        <v>97</v>
      </c>
      <c r="B476" s="2" t="s">
        <v>3933</v>
      </c>
      <c r="C476" s="2" t="s">
        <v>3480</v>
      </c>
      <c r="D476" s="2" t="s">
        <v>698</v>
      </c>
      <c r="E476" s="1" t="s">
        <v>3699</v>
      </c>
      <c r="F476" s="2" t="s">
        <v>309</v>
      </c>
      <c r="G476" s="2">
        <v>39.869999999999997</v>
      </c>
      <c r="H476" s="2" t="str">
        <f t="shared" si="16"/>
        <v>W</v>
      </c>
      <c r="I476" s="5"/>
      <c r="J476" s="5"/>
      <c r="K476" s="5"/>
      <c r="L476" s="5">
        <v>8</v>
      </c>
      <c r="M476" s="2" t="s">
        <v>571</v>
      </c>
      <c r="N476" s="5">
        <v>31.31</v>
      </c>
      <c r="O476" s="5">
        <v>18.5</v>
      </c>
      <c r="P476" s="5">
        <f xml:space="preserve"> (0.284*N476) + (0.957*O476) - 20.408</f>
        <v>6.1885399999999962</v>
      </c>
      <c r="Q476" s="2" t="s">
        <v>376</v>
      </c>
      <c r="R476" s="5">
        <f>P476*L476</f>
        <v>49.508319999999969</v>
      </c>
      <c r="S476" s="5"/>
      <c r="V476" s="5"/>
      <c r="W476" s="6" t="s">
        <v>2348</v>
      </c>
    </row>
    <row r="477" spans="1:24" x14ac:dyDescent="0.15">
      <c r="A477" s="2" t="s">
        <v>97</v>
      </c>
      <c r="B477" s="2" t="s">
        <v>3933</v>
      </c>
      <c r="C477" s="2" t="s">
        <v>3480</v>
      </c>
      <c r="D477" s="2" t="s">
        <v>698</v>
      </c>
      <c r="E477" s="1" t="s">
        <v>3699</v>
      </c>
      <c r="F477" s="2" t="s">
        <v>100</v>
      </c>
      <c r="G477" s="2">
        <v>35</v>
      </c>
      <c r="H477" s="2" t="str">
        <f t="shared" si="16"/>
        <v>W</v>
      </c>
      <c r="I477" s="5">
        <v>15.2</v>
      </c>
      <c r="J477" s="5">
        <f>18.22*10^(0.0102*(I477*10))</f>
        <v>647.06569033881215</v>
      </c>
      <c r="K477" s="5"/>
      <c r="L477" s="5">
        <v>5.7</v>
      </c>
      <c r="M477" s="2" t="s">
        <v>571</v>
      </c>
      <c r="N477" s="5"/>
      <c r="O477" s="5"/>
      <c r="P477" s="5"/>
      <c r="R477" s="5"/>
      <c r="S477" s="5"/>
      <c r="T477" s="2">
        <v>1.3</v>
      </c>
      <c r="U477" s="2" t="str">
        <f>IF(T477&lt;=1, "1",IF(AND(T477&gt;1,T477&lt;4), "2-3", "+4"))</f>
        <v>2-3</v>
      </c>
      <c r="V477" s="5"/>
      <c r="W477" s="6" t="s">
        <v>1908</v>
      </c>
    </row>
    <row r="478" spans="1:24" x14ac:dyDescent="0.15">
      <c r="A478" s="2" t="s">
        <v>97</v>
      </c>
      <c r="B478" s="2" t="s">
        <v>3933</v>
      </c>
      <c r="C478" s="2" t="s">
        <v>3480</v>
      </c>
      <c r="D478" s="2" t="s">
        <v>607</v>
      </c>
      <c r="E478" s="1" t="s">
        <v>3700</v>
      </c>
      <c r="F478" s="2" t="s">
        <v>104</v>
      </c>
      <c r="G478" s="2">
        <v>36</v>
      </c>
      <c r="H478" s="2" t="str">
        <f t="shared" si="16"/>
        <v>W</v>
      </c>
      <c r="I478" s="5">
        <f xml:space="preserve"> 10.6/0.94769</f>
        <v>11.185092171490677</v>
      </c>
      <c r="J478" s="5">
        <v>282</v>
      </c>
      <c r="K478" s="5"/>
      <c r="L478" s="5">
        <v>3</v>
      </c>
      <c r="M478" s="2" t="s">
        <v>571</v>
      </c>
      <c r="N478" s="5">
        <v>37.28</v>
      </c>
      <c r="O478" s="5">
        <v>19.059999999999999</v>
      </c>
      <c r="P478" s="5">
        <v>8.26</v>
      </c>
      <c r="Q478" s="2" t="s">
        <v>18</v>
      </c>
      <c r="R478" s="5">
        <v>24.8</v>
      </c>
      <c r="S478" s="5">
        <f>0.087*100</f>
        <v>8.6999999999999993</v>
      </c>
      <c r="T478" s="2">
        <v>1</v>
      </c>
      <c r="U478" s="2" t="str">
        <f>IF(T478&lt;=1, "1",IF(AND(T478&gt;1,T478&lt;4), "2-3", "+4"))</f>
        <v>1</v>
      </c>
      <c r="V478" s="5">
        <v>8.6999999999999993</v>
      </c>
      <c r="W478" s="6" t="s">
        <v>1783</v>
      </c>
    </row>
    <row r="479" spans="1:24" x14ac:dyDescent="0.15">
      <c r="A479" s="2" t="s">
        <v>97</v>
      </c>
      <c r="B479" s="2" t="s">
        <v>3933</v>
      </c>
      <c r="C479" s="2" t="s">
        <v>3480</v>
      </c>
      <c r="D479" s="2" t="s">
        <v>607</v>
      </c>
      <c r="E479" s="1" t="s">
        <v>3700</v>
      </c>
      <c r="F479" s="2" t="s">
        <v>309</v>
      </c>
      <c r="G479" s="2">
        <v>33.92</v>
      </c>
      <c r="H479" s="2" t="str">
        <f t="shared" si="16"/>
        <v>W</v>
      </c>
      <c r="I479" s="5">
        <v>14.36</v>
      </c>
      <c r="J479" s="5">
        <v>473.33</v>
      </c>
      <c r="K479" s="5"/>
      <c r="L479" s="5">
        <v>6.5</v>
      </c>
      <c r="M479" s="2" t="s">
        <v>571</v>
      </c>
      <c r="N479" s="5">
        <f>(P479 - 0.957*O479+ 20.408)/0.284</f>
        <v>37.453521126760585</v>
      </c>
      <c r="O479" s="5">
        <v>20.399999999999999</v>
      </c>
      <c r="P479" s="5">
        <f xml:space="preserve"> 1.1365*O479 - 13.433</f>
        <v>9.7515999999999998</v>
      </c>
      <c r="Q479" s="2" t="s">
        <v>376</v>
      </c>
      <c r="R479" s="5">
        <f>P479*L479</f>
        <v>63.385399999999997</v>
      </c>
      <c r="S479" s="5">
        <f>(R479/J479)*100</f>
        <v>13.391375995605603</v>
      </c>
      <c r="T479" s="2">
        <v>1.57</v>
      </c>
      <c r="U479" s="2" t="str">
        <f>IF(T479&lt;=1, "1",IF(AND(T479&gt;1,T479&lt;4), "2-3", "+4"))</f>
        <v>2-3</v>
      </c>
      <c r="V479" s="5">
        <f>S479*T479</f>
        <v>21.024460313100796</v>
      </c>
      <c r="W479" s="6" t="s">
        <v>3412</v>
      </c>
    </row>
    <row r="480" spans="1:24" x14ac:dyDescent="0.15">
      <c r="A480" s="2" t="s">
        <v>97</v>
      </c>
      <c r="B480" s="2" t="s">
        <v>3933</v>
      </c>
      <c r="C480" s="2" t="s">
        <v>3480</v>
      </c>
      <c r="D480" s="2" t="s">
        <v>607</v>
      </c>
      <c r="E480" s="1" t="s">
        <v>3700</v>
      </c>
      <c r="F480" s="2" t="s">
        <v>309</v>
      </c>
      <c r="H480" s="2" t="s">
        <v>3887</v>
      </c>
      <c r="I480" s="5"/>
      <c r="J480" s="5"/>
      <c r="K480" s="5">
        <v>6.5</v>
      </c>
      <c r="L480" s="5"/>
      <c r="M480" s="5"/>
      <c r="N480" s="5"/>
      <c r="O480" s="5"/>
      <c r="P480" s="5"/>
      <c r="R480" s="5"/>
      <c r="S480" s="5"/>
      <c r="V480" s="5"/>
      <c r="W480" s="6" t="s">
        <v>4059</v>
      </c>
    </row>
    <row r="481" spans="1:23" x14ac:dyDescent="0.15">
      <c r="A481" s="2" t="s">
        <v>97</v>
      </c>
      <c r="B481" s="2" t="s">
        <v>3933</v>
      </c>
      <c r="C481" s="2" t="s">
        <v>3480</v>
      </c>
      <c r="D481" s="2" t="s">
        <v>607</v>
      </c>
      <c r="E481" s="1" t="s">
        <v>3700</v>
      </c>
      <c r="F481" s="2" t="s">
        <v>309</v>
      </c>
      <c r="G481" s="2">
        <v>34.35</v>
      </c>
      <c r="H481" s="2" t="str">
        <f>IF(G481="captive","C","W")</f>
        <v>W</v>
      </c>
      <c r="I481" s="5">
        <v>14.4</v>
      </c>
      <c r="J481" s="5">
        <v>523</v>
      </c>
      <c r="K481" s="5"/>
      <c r="L481" s="5">
        <v>4.5999999999999996</v>
      </c>
      <c r="M481" s="5" t="s">
        <v>571</v>
      </c>
      <c r="N481" s="5">
        <v>37.04</v>
      </c>
      <c r="O481" s="5">
        <v>21.8</v>
      </c>
      <c r="P481" s="5">
        <f xml:space="preserve"> (0.284*N481) + (0.957*O481) - 20.408</f>
        <v>10.973959999999998</v>
      </c>
      <c r="Q481" s="2" t="s">
        <v>376</v>
      </c>
      <c r="R481" s="5">
        <f>P481*L481</f>
        <v>50.480215999999984</v>
      </c>
      <c r="S481" s="5">
        <f>(R481/J481)*100</f>
        <v>9.6520489483747589</v>
      </c>
      <c r="V481" s="5"/>
      <c r="W481" s="6" t="s">
        <v>2219</v>
      </c>
    </row>
    <row r="482" spans="1:23" x14ac:dyDescent="0.15">
      <c r="A482" s="2" t="s">
        <v>97</v>
      </c>
      <c r="B482" s="2" t="s">
        <v>3933</v>
      </c>
      <c r="C482" s="2" t="s">
        <v>3480</v>
      </c>
      <c r="D482" s="2" t="s">
        <v>607</v>
      </c>
      <c r="E482" s="1" t="s">
        <v>3700</v>
      </c>
      <c r="F482" s="2" t="s">
        <v>608</v>
      </c>
      <c r="G482" s="2">
        <v>30.83</v>
      </c>
      <c r="H482" s="2" t="str">
        <f>IF(G482="captive","C","W")</f>
        <v>W</v>
      </c>
      <c r="I482" s="5">
        <v>12.78</v>
      </c>
      <c r="J482" s="5">
        <v>308.5</v>
      </c>
      <c r="K482" s="5"/>
      <c r="L482" s="5"/>
      <c r="M482" s="2" t="s">
        <v>571</v>
      </c>
      <c r="N482" s="5"/>
      <c r="O482" s="5"/>
      <c r="P482" s="5"/>
      <c r="R482" s="5"/>
      <c r="S482" s="5"/>
      <c r="V482" s="5"/>
      <c r="W482" s="6" t="s">
        <v>2218</v>
      </c>
    </row>
    <row r="483" spans="1:23" x14ac:dyDescent="0.15">
      <c r="A483" s="2" t="s">
        <v>97</v>
      </c>
      <c r="B483" s="2" t="s">
        <v>3932</v>
      </c>
      <c r="C483" s="2" t="s">
        <v>966</v>
      </c>
      <c r="D483" s="2" t="s">
        <v>699</v>
      </c>
      <c r="E483" s="1"/>
      <c r="F483" s="2" t="s">
        <v>260</v>
      </c>
      <c r="G483" s="2">
        <v>34.78</v>
      </c>
      <c r="H483" s="2" t="str">
        <f>IF(G483="captive","C","W")</f>
        <v>W</v>
      </c>
      <c r="I483" s="5">
        <v>13.7</v>
      </c>
      <c r="J483" s="5">
        <v>352</v>
      </c>
      <c r="K483" s="5"/>
      <c r="L483" s="5">
        <v>6.5</v>
      </c>
      <c r="M483" s="2" t="s">
        <v>191</v>
      </c>
      <c r="N483" s="5">
        <v>31.55</v>
      </c>
      <c r="O483" s="5">
        <v>17.02</v>
      </c>
      <c r="P483" s="5">
        <v>5.64</v>
      </c>
      <c r="Q483" s="2" t="s">
        <v>18</v>
      </c>
      <c r="R483" s="5">
        <v>36.659999999999997</v>
      </c>
      <c r="S483" s="5">
        <v>9.4600000000000009</v>
      </c>
      <c r="T483" s="2">
        <v>4</v>
      </c>
      <c r="U483" s="9" t="s">
        <v>4047</v>
      </c>
      <c r="V483" s="5">
        <v>37.840000000000003</v>
      </c>
      <c r="W483" s="6" t="s">
        <v>4454</v>
      </c>
    </row>
    <row r="484" spans="1:23" x14ac:dyDescent="0.15">
      <c r="A484" s="2" t="s">
        <v>97</v>
      </c>
      <c r="B484" s="2" t="s">
        <v>3932</v>
      </c>
      <c r="C484" s="2" t="s">
        <v>966</v>
      </c>
      <c r="D484" s="2" t="s">
        <v>699</v>
      </c>
      <c r="E484" s="1"/>
      <c r="F484" s="2" t="s">
        <v>523</v>
      </c>
      <c r="G484" s="2">
        <v>36.5</v>
      </c>
      <c r="H484" s="2" t="str">
        <f>IF(G484="captive","C","W")</f>
        <v>W</v>
      </c>
      <c r="I484" s="5">
        <v>13.3</v>
      </c>
      <c r="J484" s="5">
        <v>326</v>
      </c>
      <c r="K484" s="5"/>
      <c r="L484" s="5">
        <v>4.8</v>
      </c>
      <c r="M484" s="2" t="s">
        <v>191</v>
      </c>
      <c r="N484" s="5">
        <v>31.78</v>
      </c>
      <c r="O484" s="5">
        <v>18.21</v>
      </c>
      <c r="P484" s="5">
        <v>6.39</v>
      </c>
      <c r="Q484" s="2" t="s">
        <v>18</v>
      </c>
      <c r="R484" s="5">
        <v>30.67</v>
      </c>
      <c r="S484" s="5">
        <v>9.41</v>
      </c>
      <c r="T484" s="2">
        <v>3.07</v>
      </c>
      <c r="U484" s="9" t="s">
        <v>395</v>
      </c>
      <c r="V484" s="5">
        <v>28.88</v>
      </c>
      <c r="W484" s="6" t="s">
        <v>4455</v>
      </c>
    </row>
    <row r="485" spans="1:23" x14ac:dyDescent="0.15">
      <c r="A485" s="2" t="s">
        <v>97</v>
      </c>
      <c r="B485" s="2" t="s">
        <v>3932</v>
      </c>
      <c r="C485" s="2" t="s">
        <v>966</v>
      </c>
      <c r="D485" s="2" t="s">
        <v>699</v>
      </c>
      <c r="E485" s="1"/>
      <c r="F485" s="2" t="s">
        <v>4457</v>
      </c>
      <c r="G485" s="2" t="s">
        <v>4456</v>
      </c>
      <c r="H485" s="2" t="s">
        <v>3887</v>
      </c>
      <c r="I485" s="5">
        <v>12.1</v>
      </c>
      <c r="J485" s="5">
        <v>256</v>
      </c>
      <c r="K485" s="5"/>
      <c r="L485" s="5">
        <v>4.0999999999999996</v>
      </c>
      <c r="M485" s="2" t="s">
        <v>191</v>
      </c>
      <c r="N485" s="5">
        <v>29.57</v>
      </c>
      <c r="O485" s="5">
        <v>16.850000000000001</v>
      </c>
      <c r="P485" s="5">
        <v>5.48</v>
      </c>
      <c r="Q485" s="2" t="s">
        <v>18</v>
      </c>
      <c r="R485" s="5">
        <v>22.47</v>
      </c>
      <c r="S485" s="5">
        <v>8.7799999999999994</v>
      </c>
      <c r="T485" s="2">
        <v>3.15</v>
      </c>
      <c r="U485" s="9" t="s">
        <v>395</v>
      </c>
      <c r="V485" s="5">
        <v>27.65</v>
      </c>
      <c r="W485" s="6" t="s">
        <v>4455</v>
      </c>
    </row>
    <row r="486" spans="1:23" x14ac:dyDescent="0.15">
      <c r="A486" s="2" t="s">
        <v>97</v>
      </c>
      <c r="B486" s="2" t="s">
        <v>3932</v>
      </c>
      <c r="C486" s="2" t="s">
        <v>966</v>
      </c>
      <c r="D486" s="2" t="s">
        <v>535</v>
      </c>
      <c r="E486" s="1" t="s">
        <v>965</v>
      </c>
      <c r="F486" s="2" t="s">
        <v>177</v>
      </c>
      <c r="G486" s="2">
        <v>39.67</v>
      </c>
      <c r="H486" s="2" t="str">
        <f t="shared" ref="H486:H492" si="17">IF(G486="captive","C","W")</f>
        <v>W</v>
      </c>
      <c r="I486" s="5"/>
      <c r="J486" s="5"/>
      <c r="K486" s="5"/>
      <c r="L486" s="5">
        <v>7</v>
      </c>
      <c r="M486" s="2" t="s">
        <v>191</v>
      </c>
      <c r="N486" s="5">
        <v>30</v>
      </c>
      <c r="O486" s="5">
        <v>15</v>
      </c>
      <c r="P486" s="5"/>
      <c r="R486" s="5"/>
      <c r="S486" s="5"/>
      <c r="V486" s="5"/>
      <c r="W486" s="6" t="s">
        <v>3413</v>
      </c>
    </row>
    <row r="487" spans="1:23" x14ac:dyDescent="0.15">
      <c r="A487" s="2" t="s">
        <v>97</v>
      </c>
      <c r="B487" s="2" t="s">
        <v>3932</v>
      </c>
      <c r="C487" s="2" t="s">
        <v>966</v>
      </c>
      <c r="D487" s="2" t="s">
        <v>535</v>
      </c>
      <c r="E487" s="1" t="s">
        <v>965</v>
      </c>
      <c r="F487" s="2" t="s">
        <v>2265</v>
      </c>
      <c r="G487" s="2">
        <v>44.88</v>
      </c>
      <c r="H487" s="2" t="str">
        <f t="shared" si="17"/>
        <v>W</v>
      </c>
      <c r="I487" s="5">
        <v>13.595000000000001</v>
      </c>
      <c r="J487" s="5">
        <v>331</v>
      </c>
      <c r="K487" s="5">
        <v>6</v>
      </c>
      <c r="L487" s="5">
        <v>7.25</v>
      </c>
      <c r="M487" s="2" t="s">
        <v>191</v>
      </c>
      <c r="N487" s="5"/>
      <c r="O487" s="5"/>
      <c r="P487" s="5"/>
      <c r="R487" s="5"/>
      <c r="S487" s="5"/>
      <c r="T487" s="2">
        <v>2</v>
      </c>
      <c r="U487" s="2" t="str">
        <f>IF(T487&lt;=1, "1",IF(AND(T487&gt;1,T487&lt;4), "2-3", "+4"))</f>
        <v>2-3</v>
      </c>
      <c r="V487" s="5"/>
      <c r="W487" s="6" t="s">
        <v>2777</v>
      </c>
    </row>
    <row r="488" spans="1:23" x14ac:dyDescent="0.15">
      <c r="A488" s="2" t="s">
        <v>97</v>
      </c>
      <c r="B488" s="2" t="s">
        <v>3932</v>
      </c>
      <c r="C488" s="2" t="s">
        <v>966</v>
      </c>
      <c r="D488" s="2" t="s">
        <v>535</v>
      </c>
      <c r="E488" s="1" t="s">
        <v>965</v>
      </c>
      <c r="F488" s="2" t="s">
        <v>523</v>
      </c>
      <c r="G488" s="2">
        <v>36.36</v>
      </c>
      <c r="H488" s="2" t="str">
        <f t="shared" si="17"/>
        <v>W</v>
      </c>
      <c r="I488" s="5"/>
      <c r="J488" s="5"/>
      <c r="K488" s="5"/>
      <c r="L488" s="5">
        <v>4</v>
      </c>
      <c r="M488" s="2" t="s">
        <v>191</v>
      </c>
      <c r="N488" s="5">
        <v>33.200000000000003</v>
      </c>
      <c r="O488" s="5"/>
      <c r="P488" s="5">
        <v>7.06</v>
      </c>
      <c r="Q488" s="2" t="s">
        <v>376</v>
      </c>
      <c r="R488" s="5">
        <v>28.22</v>
      </c>
      <c r="S488" s="5"/>
      <c r="V488" s="5"/>
      <c r="W488" s="6" t="s">
        <v>3042</v>
      </c>
    </row>
    <row r="489" spans="1:23" x14ac:dyDescent="0.15">
      <c r="A489" s="2" t="s">
        <v>97</v>
      </c>
      <c r="B489" s="2" t="s">
        <v>3932</v>
      </c>
      <c r="C489" s="2" t="s">
        <v>966</v>
      </c>
      <c r="D489" s="2" t="s">
        <v>535</v>
      </c>
      <c r="E489" s="1" t="s">
        <v>965</v>
      </c>
      <c r="F489" s="2" t="s">
        <v>523</v>
      </c>
      <c r="G489" s="2">
        <v>36.36</v>
      </c>
      <c r="H489" s="2" t="str">
        <f t="shared" si="17"/>
        <v>W</v>
      </c>
      <c r="I489" s="5"/>
      <c r="J489" s="5"/>
      <c r="K489" s="5"/>
      <c r="L489" s="5">
        <v>6.5</v>
      </c>
      <c r="M489" s="2" t="s">
        <v>191</v>
      </c>
      <c r="N489" s="5"/>
      <c r="O489" s="5"/>
      <c r="P489" s="5"/>
      <c r="R489" s="5"/>
      <c r="S489" s="5"/>
      <c r="V489" s="5"/>
      <c r="W489" s="6" t="s">
        <v>3332</v>
      </c>
    </row>
    <row r="490" spans="1:23" ht="12.75" customHeight="1" x14ac:dyDescent="0.15">
      <c r="A490" s="2" t="s">
        <v>97</v>
      </c>
      <c r="B490" s="2" t="s">
        <v>3932</v>
      </c>
      <c r="C490" s="2" t="s">
        <v>966</v>
      </c>
      <c r="D490" s="2" t="s">
        <v>535</v>
      </c>
      <c r="E490" s="1" t="s">
        <v>965</v>
      </c>
      <c r="F490" s="2" t="s">
        <v>2943</v>
      </c>
      <c r="G490" s="2">
        <v>45.4</v>
      </c>
      <c r="H490" s="2" t="str">
        <f t="shared" si="17"/>
        <v>W</v>
      </c>
      <c r="I490" s="5">
        <v>15.8</v>
      </c>
      <c r="J490" s="5">
        <v>526</v>
      </c>
      <c r="K490" s="7">
        <f>MEDIAN(7,11)</f>
        <v>9</v>
      </c>
      <c r="L490" s="5">
        <v>9.1999999999999993</v>
      </c>
      <c r="M490" s="2" t="s">
        <v>191</v>
      </c>
      <c r="N490" s="5">
        <v>29.38</v>
      </c>
      <c r="O490" s="5">
        <v>20.18</v>
      </c>
      <c r="P490" s="5">
        <v>7.45</v>
      </c>
      <c r="Q490" s="2" t="s">
        <v>376</v>
      </c>
      <c r="R490" s="5">
        <v>68.510000000000005</v>
      </c>
      <c r="S490" s="5">
        <v>13.03</v>
      </c>
      <c r="T490" s="2">
        <v>1.18</v>
      </c>
      <c r="U490" s="2" t="str">
        <f>IF(T490&lt;=1, "1",IF(AND(T490&gt;1,T490&lt;4), "2-3", "+4"))</f>
        <v>2-3</v>
      </c>
      <c r="V490" s="5">
        <f>S490*T490</f>
        <v>15.375399999999999</v>
      </c>
      <c r="W490" s="6" t="s">
        <v>3001</v>
      </c>
    </row>
    <row r="491" spans="1:23" x14ac:dyDescent="0.15">
      <c r="A491" s="2" t="s">
        <v>97</v>
      </c>
      <c r="B491" s="2" t="s">
        <v>3932</v>
      </c>
      <c r="C491" s="2" t="s">
        <v>966</v>
      </c>
      <c r="D491" s="2" t="s">
        <v>535</v>
      </c>
      <c r="E491" s="1" t="s">
        <v>965</v>
      </c>
      <c r="F491" s="2" t="s">
        <v>232</v>
      </c>
      <c r="G491" s="2">
        <v>33.5</v>
      </c>
      <c r="H491" s="2" t="str">
        <f t="shared" si="17"/>
        <v>W</v>
      </c>
      <c r="I491" s="5">
        <v>15.61</v>
      </c>
      <c r="J491" s="5">
        <v>548.20000000000005</v>
      </c>
      <c r="K491" s="5">
        <v>5</v>
      </c>
      <c r="L491" s="5">
        <v>8.9499999999999993</v>
      </c>
      <c r="M491" s="2" t="s">
        <v>191</v>
      </c>
      <c r="N491" s="5">
        <v>31.4</v>
      </c>
      <c r="O491" s="5">
        <v>18.399999999999999</v>
      </c>
      <c r="P491" s="5">
        <v>6.34</v>
      </c>
      <c r="Q491" s="2" t="s">
        <v>376</v>
      </c>
      <c r="R491" s="5">
        <v>56.79</v>
      </c>
      <c r="S491" s="5">
        <v>10.36</v>
      </c>
      <c r="T491" s="9">
        <f>MEDIAN(1,2)</f>
        <v>1.5</v>
      </c>
      <c r="U491" s="2" t="str">
        <f>IF(T491&lt;=1, "1",IF(AND(T491&gt;1,T491&lt;4), "2-3", "+4"))</f>
        <v>2-3</v>
      </c>
      <c r="V491" s="5">
        <f>S491*T491</f>
        <v>15.54</v>
      </c>
      <c r="W491" s="6" t="s">
        <v>2984</v>
      </c>
    </row>
    <row r="492" spans="1:23" x14ac:dyDescent="0.15">
      <c r="A492" s="2" t="s">
        <v>97</v>
      </c>
      <c r="B492" s="2" t="s">
        <v>3932</v>
      </c>
      <c r="C492" s="2" t="s">
        <v>966</v>
      </c>
      <c r="D492" s="2" t="s">
        <v>535</v>
      </c>
      <c r="E492" s="1" t="s">
        <v>965</v>
      </c>
      <c r="F492" s="2" t="s">
        <v>158</v>
      </c>
      <c r="G492" s="2">
        <v>47</v>
      </c>
      <c r="H492" s="2" t="str">
        <f t="shared" si="17"/>
        <v>W</v>
      </c>
      <c r="I492" s="5">
        <v>16.03</v>
      </c>
      <c r="J492" s="5">
        <v>600</v>
      </c>
      <c r="K492" s="5">
        <v>7</v>
      </c>
      <c r="L492" s="5">
        <v>10</v>
      </c>
      <c r="M492" s="2" t="s">
        <v>191</v>
      </c>
      <c r="N492" s="5">
        <v>31.1</v>
      </c>
      <c r="O492" s="5">
        <v>17.7</v>
      </c>
      <c r="P492" s="5">
        <v>5.91</v>
      </c>
      <c r="Q492" s="2" t="s">
        <v>376</v>
      </c>
      <c r="R492" s="5">
        <v>59.12</v>
      </c>
      <c r="S492" s="5">
        <v>9.85</v>
      </c>
      <c r="T492" s="9">
        <f>MEDIAN(1,2)</f>
        <v>1.5</v>
      </c>
      <c r="U492" s="2" t="str">
        <f>IF(T492&lt;=1, "1",IF(AND(T492&gt;1,T492&lt;4), "2-3", "+4"))</f>
        <v>2-3</v>
      </c>
      <c r="V492" s="5">
        <f>S492*T492</f>
        <v>14.774999999999999</v>
      </c>
      <c r="W492" s="6" t="s">
        <v>2984</v>
      </c>
    </row>
    <row r="493" spans="1:23" x14ac:dyDescent="0.15">
      <c r="A493" s="1" t="s">
        <v>97</v>
      </c>
      <c r="B493" s="2" t="s">
        <v>3932</v>
      </c>
      <c r="C493" s="1" t="s">
        <v>966</v>
      </c>
      <c r="D493" s="1" t="s">
        <v>535</v>
      </c>
      <c r="E493" s="1" t="s">
        <v>965</v>
      </c>
      <c r="F493" s="1" t="s">
        <v>523</v>
      </c>
      <c r="G493" s="1">
        <v>36.35</v>
      </c>
      <c r="H493" s="1" t="s">
        <v>3887</v>
      </c>
      <c r="I493" s="8">
        <v>13.706</v>
      </c>
      <c r="J493" s="8">
        <v>315.33</v>
      </c>
      <c r="K493" s="8">
        <v>4</v>
      </c>
      <c r="L493" s="8">
        <v>5.88</v>
      </c>
      <c r="M493" s="1" t="s">
        <v>191</v>
      </c>
      <c r="N493" s="8">
        <v>31.77</v>
      </c>
      <c r="O493" s="8">
        <v>18.21</v>
      </c>
      <c r="P493" s="8">
        <v>6.39</v>
      </c>
      <c r="Q493" s="1" t="s">
        <v>18</v>
      </c>
      <c r="R493" s="8">
        <v>37.57</v>
      </c>
      <c r="S493" s="8">
        <v>11.92</v>
      </c>
      <c r="T493" s="1"/>
      <c r="U493" s="1"/>
      <c r="V493" s="8"/>
      <c r="W493" s="6" t="s">
        <v>3903</v>
      </c>
    </row>
    <row r="494" spans="1:23" x14ac:dyDescent="0.15">
      <c r="A494" s="2" t="s">
        <v>97</v>
      </c>
      <c r="B494" s="2" t="s">
        <v>3932</v>
      </c>
      <c r="C494" s="2" t="s">
        <v>966</v>
      </c>
      <c r="D494" s="2" t="s">
        <v>535</v>
      </c>
      <c r="E494" s="1" t="s">
        <v>965</v>
      </c>
      <c r="F494" s="2" t="s">
        <v>105</v>
      </c>
      <c r="G494" s="2">
        <v>34</v>
      </c>
      <c r="H494" s="2" t="str">
        <f t="shared" ref="H494:H525" si="18">IF(G494="captive","C","W")</f>
        <v>W</v>
      </c>
      <c r="I494" s="5">
        <v>14.18</v>
      </c>
      <c r="J494" s="5">
        <f xml:space="preserve"> 0.2149*I494^2.812</f>
        <v>372.1773820197742</v>
      </c>
      <c r="K494" s="5"/>
      <c r="L494" s="5">
        <v>5</v>
      </c>
      <c r="M494" s="2" t="s">
        <v>191</v>
      </c>
      <c r="N494" s="5">
        <v>33.22</v>
      </c>
      <c r="O494" s="5">
        <v>17.28</v>
      </c>
      <c r="P494" s="5">
        <v>6.17</v>
      </c>
      <c r="Q494" s="2" t="s">
        <v>18</v>
      </c>
      <c r="R494" s="5">
        <v>30.9</v>
      </c>
      <c r="S494" s="5">
        <f>(R494/J494)*100</f>
        <v>8.3024927071893497</v>
      </c>
      <c r="V494" s="5"/>
      <c r="W494" s="6" t="s">
        <v>1783</v>
      </c>
    </row>
    <row r="495" spans="1:23" x14ac:dyDescent="0.15">
      <c r="A495" s="2" t="s">
        <v>97</v>
      </c>
      <c r="B495" s="2" t="s">
        <v>3932</v>
      </c>
      <c r="C495" s="2" t="s">
        <v>966</v>
      </c>
      <c r="D495" s="2" t="s">
        <v>535</v>
      </c>
      <c r="E495" s="1" t="s">
        <v>3472</v>
      </c>
      <c r="F495" s="2" t="s">
        <v>4060</v>
      </c>
      <c r="G495" s="2">
        <v>37.25</v>
      </c>
      <c r="H495" s="2" t="str">
        <f t="shared" si="18"/>
        <v>W</v>
      </c>
      <c r="I495" s="5">
        <f>18.3/0.961</f>
        <v>19.042663891779398</v>
      </c>
      <c r="J495" s="5"/>
      <c r="K495" s="5">
        <v>8</v>
      </c>
      <c r="L495" s="5"/>
      <c r="M495" s="2" t="s">
        <v>191</v>
      </c>
      <c r="N495" s="5"/>
      <c r="O495" s="5"/>
      <c r="P495" s="5"/>
      <c r="R495" s="5"/>
      <c r="S495" s="5"/>
      <c r="V495" s="5"/>
      <c r="W495" s="6" t="s">
        <v>4061</v>
      </c>
    </row>
    <row r="496" spans="1:23" x14ac:dyDescent="0.15">
      <c r="A496" s="2" t="s">
        <v>97</v>
      </c>
      <c r="B496" s="2" t="s">
        <v>3932</v>
      </c>
      <c r="C496" s="2" t="s">
        <v>966</v>
      </c>
      <c r="D496" s="2" t="s">
        <v>535</v>
      </c>
      <c r="E496" s="1" t="s">
        <v>965</v>
      </c>
      <c r="F496" s="2" t="s">
        <v>110</v>
      </c>
      <c r="G496" s="2">
        <v>42</v>
      </c>
      <c r="H496" s="2" t="str">
        <f t="shared" si="18"/>
        <v>W</v>
      </c>
      <c r="I496" s="5"/>
      <c r="J496" s="5"/>
      <c r="K496" s="5"/>
      <c r="L496" s="5">
        <v>5.9</v>
      </c>
      <c r="M496" s="2" t="s">
        <v>191</v>
      </c>
      <c r="N496" s="5"/>
      <c r="O496" s="5"/>
      <c r="P496" s="5"/>
      <c r="R496" s="5"/>
      <c r="S496" s="5"/>
      <c r="V496" s="5"/>
      <c r="W496" s="6" t="s">
        <v>1793</v>
      </c>
    </row>
    <row r="497" spans="1:24" x14ac:dyDescent="0.15">
      <c r="A497" s="2" t="s">
        <v>97</v>
      </c>
      <c r="B497" s="2" t="s">
        <v>3932</v>
      </c>
      <c r="C497" s="2" t="s">
        <v>966</v>
      </c>
      <c r="D497" s="2" t="s">
        <v>535</v>
      </c>
      <c r="E497" s="1" t="s">
        <v>965</v>
      </c>
      <c r="F497" s="2" t="s">
        <v>110</v>
      </c>
      <c r="G497" s="2">
        <v>42</v>
      </c>
      <c r="H497" s="2" t="str">
        <f t="shared" si="18"/>
        <v>W</v>
      </c>
      <c r="I497" s="5"/>
      <c r="J497" s="5"/>
      <c r="K497" s="5"/>
      <c r="L497" s="5">
        <v>7.5</v>
      </c>
      <c r="M497" s="2" t="s">
        <v>191</v>
      </c>
      <c r="N497" s="5"/>
      <c r="O497" s="5"/>
      <c r="P497" s="5"/>
      <c r="R497" s="5"/>
      <c r="S497" s="5"/>
      <c r="V497" s="5"/>
      <c r="W497" s="6" t="s">
        <v>1793</v>
      </c>
    </row>
    <row r="498" spans="1:24" x14ac:dyDescent="0.15">
      <c r="A498" s="2" t="s">
        <v>97</v>
      </c>
      <c r="B498" s="2" t="s">
        <v>3932</v>
      </c>
      <c r="C498" s="2" t="s">
        <v>966</v>
      </c>
      <c r="D498" s="2" t="s">
        <v>535</v>
      </c>
      <c r="E498" s="1" t="s">
        <v>965</v>
      </c>
      <c r="F498" s="2" t="s">
        <v>120</v>
      </c>
      <c r="G498" s="2">
        <v>40.200000000000003</v>
      </c>
      <c r="H498" s="2" t="str">
        <f t="shared" si="18"/>
        <v>W</v>
      </c>
      <c r="I498" s="5">
        <v>13.88</v>
      </c>
      <c r="J498" s="5">
        <f xml:space="preserve"> 0.2149*I498^2.812</f>
        <v>350.45769014931756</v>
      </c>
      <c r="K498" s="5"/>
      <c r="L498" s="5">
        <v>4.7300000000000004</v>
      </c>
      <c r="M498" s="2" t="s">
        <v>191</v>
      </c>
      <c r="N498" s="5">
        <v>31.17</v>
      </c>
      <c r="O498" s="5">
        <v>18.77</v>
      </c>
      <c r="P498" s="5">
        <v>6.87</v>
      </c>
      <c r="Q498" s="2" t="s">
        <v>18</v>
      </c>
      <c r="R498" s="5">
        <v>32.503</v>
      </c>
      <c r="S498" s="5">
        <f>(R498/J498)*100</f>
        <v>9.274443367515099</v>
      </c>
      <c r="V498" s="5"/>
      <c r="W498" s="6" t="s">
        <v>3414</v>
      </c>
    </row>
    <row r="499" spans="1:24" x14ac:dyDescent="0.15">
      <c r="A499" s="2" t="s">
        <v>97</v>
      </c>
      <c r="B499" s="2" t="s">
        <v>3932</v>
      </c>
      <c r="C499" s="2" t="s">
        <v>966</v>
      </c>
      <c r="D499" s="2" t="s">
        <v>535</v>
      </c>
      <c r="E499" s="1" t="s">
        <v>965</v>
      </c>
      <c r="F499" s="2" t="s">
        <v>77</v>
      </c>
      <c r="G499" s="2">
        <v>42.4</v>
      </c>
      <c r="H499" s="2" t="str">
        <f t="shared" si="18"/>
        <v>W</v>
      </c>
      <c r="I499" s="5">
        <v>12.33</v>
      </c>
      <c r="J499" s="5">
        <v>237</v>
      </c>
      <c r="K499" s="7">
        <f>MEDIAN(7,12)</f>
        <v>9.5</v>
      </c>
      <c r="L499" s="5">
        <v>6.35</v>
      </c>
      <c r="M499" s="2" t="s">
        <v>191</v>
      </c>
      <c r="N499" s="5"/>
      <c r="O499" s="5"/>
      <c r="P499" s="5"/>
      <c r="R499" s="5"/>
      <c r="S499" s="5"/>
      <c r="T499" s="9">
        <f>MEDIAN(1,2)</f>
        <v>1.5</v>
      </c>
      <c r="U499" s="2" t="str">
        <f>IF(T499&lt;=1, "1",IF(AND(T499&gt;1,T499&lt;4), "2-3", "+4"))</f>
        <v>2-3</v>
      </c>
      <c r="V499" s="5"/>
      <c r="W499" s="6" t="s">
        <v>2350</v>
      </c>
    </row>
    <row r="500" spans="1:24" x14ac:dyDescent="0.15">
      <c r="A500" s="2" t="s">
        <v>97</v>
      </c>
      <c r="B500" s="2" t="s">
        <v>3932</v>
      </c>
      <c r="C500" s="2" t="s">
        <v>966</v>
      </c>
      <c r="D500" s="2" t="s">
        <v>535</v>
      </c>
      <c r="E500" s="1" t="s">
        <v>965</v>
      </c>
      <c r="F500" s="2" t="s">
        <v>77</v>
      </c>
      <c r="G500" s="2">
        <v>42.41</v>
      </c>
      <c r="H500" s="2" t="str">
        <f t="shared" si="18"/>
        <v>W</v>
      </c>
      <c r="I500" s="5">
        <v>12.86</v>
      </c>
      <c r="J500" s="5">
        <v>299</v>
      </c>
      <c r="K500" s="5"/>
      <c r="L500" s="5">
        <v>5.2</v>
      </c>
      <c r="M500" s="2" t="s">
        <v>191</v>
      </c>
      <c r="N500" s="5"/>
      <c r="O500" s="5"/>
      <c r="P500" s="5"/>
      <c r="R500" s="5"/>
      <c r="S500" s="5"/>
      <c r="T500" s="9"/>
      <c r="U500" s="9"/>
      <c r="V500" s="5"/>
      <c r="W500" s="6" t="s">
        <v>3415</v>
      </c>
    </row>
    <row r="501" spans="1:24" x14ac:dyDescent="0.15">
      <c r="A501" s="2" t="s">
        <v>97</v>
      </c>
      <c r="B501" s="2" t="s">
        <v>3932</v>
      </c>
      <c r="C501" s="2" t="s">
        <v>966</v>
      </c>
      <c r="D501" s="2" t="s">
        <v>535</v>
      </c>
      <c r="E501" s="1" t="s">
        <v>965</v>
      </c>
      <c r="F501" s="2" t="s">
        <v>77</v>
      </c>
      <c r="G501" s="2">
        <v>42.4</v>
      </c>
      <c r="H501" s="2" t="str">
        <f t="shared" si="18"/>
        <v>W</v>
      </c>
      <c r="I501" s="5">
        <v>13.95</v>
      </c>
      <c r="J501" s="5">
        <f xml:space="preserve"> 0.2149*I501^2.812</f>
        <v>355.45046547583291</v>
      </c>
      <c r="K501" s="5"/>
      <c r="L501" s="5">
        <v>6.4</v>
      </c>
      <c r="M501" s="2" t="s">
        <v>191</v>
      </c>
      <c r="N501" s="5"/>
      <c r="O501" s="5"/>
      <c r="P501" s="5"/>
      <c r="R501" s="5"/>
      <c r="S501" s="5"/>
      <c r="T501" s="9"/>
      <c r="U501" s="9"/>
      <c r="V501" s="5"/>
      <c r="W501" s="6" t="s">
        <v>3415</v>
      </c>
    </row>
    <row r="502" spans="1:24" x14ac:dyDescent="0.15">
      <c r="A502" s="2" t="s">
        <v>97</v>
      </c>
      <c r="B502" s="2" t="s">
        <v>3932</v>
      </c>
      <c r="C502" s="2" t="s">
        <v>966</v>
      </c>
      <c r="D502" s="2" t="s">
        <v>535</v>
      </c>
      <c r="E502" s="1" t="s">
        <v>965</v>
      </c>
      <c r="F502" s="2" t="s">
        <v>77</v>
      </c>
      <c r="G502" s="2">
        <v>42.28</v>
      </c>
      <c r="H502" s="2" t="str">
        <f t="shared" si="18"/>
        <v>W</v>
      </c>
      <c r="I502" s="5">
        <v>14.55</v>
      </c>
      <c r="J502" s="5">
        <v>451</v>
      </c>
      <c r="K502" s="5"/>
      <c r="L502" s="5">
        <v>8.1999999999999993</v>
      </c>
      <c r="M502" s="2" t="s">
        <v>191</v>
      </c>
      <c r="N502" s="5"/>
      <c r="O502" s="5"/>
      <c r="P502" s="5"/>
      <c r="R502" s="5"/>
      <c r="S502" s="5"/>
      <c r="T502" s="9"/>
      <c r="U502" s="9"/>
      <c r="V502" s="5"/>
      <c r="W502" s="6" t="s">
        <v>3415</v>
      </c>
    </row>
    <row r="503" spans="1:24" x14ac:dyDescent="0.15">
      <c r="A503" s="2" t="s">
        <v>97</v>
      </c>
      <c r="B503" s="2" t="s">
        <v>3932</v>
      </c>
      <c r="C503" s="2" t="s">
        <v>966</v>
      </c>
      <c r="D503" s="2" t="s">
        <v>535</v>
      </c>
      <c r="E503" s="1" t="s">
        <v>965</v>
      </c>
      <c r="F503" s="2" t="s">
        <v>111</v>
      </c>
      <c r="G503" s="2">
        <v>41</v>
      </c>
      <c r="H503" s="2" t="str">
        <f t="shared" si="18"/>
        <v>W</v>
      </c>
      <c r="I503" s="5"/>
      <c r="J503" s="5"/>
      <c r="K503" s="5"/>
      <c r="L503" s="5">
        <f>AVERAGE(10.5,11,11.3,10.8)</f>
        <v>10.899999999999999</v>
      </c>
      <c r="M503" s="2" t="s">
        <v>191</v>
      </c>
      <c r="N503" s="5"/>
      <c r="O503" s="5"/>
      <c r="P503" s="5"/>
      <c r="R503" s="5"/>
      <c r="S503" s="5"/>
      <c r="V503" s="5"/>
      <c r="W503" s="6" t="s">
        <v>1794</v>
      </c>
    </row>
    <row r="504" spans="1:24" ht="12.75" customHeight="1" x14ac:dyDescent="0.15">
      <c r="A504" s="2" t="s">
        <v>97</v>
      </c>
      <c r="B504" s="2" t="s">
        <v>3932</v>
      </c>
      <c r="C504" s="2" t="s">
        <v>966</v>
      </c>
      <c r="D504" s="2" t="s">
        <v>535</v>
      </c>
      <c r="E504" s="1" t="s">
        <v>965</v>
      </c>
      <c r="F504" s="2" t="s">
        <v>117</v>
      </c>
      <c r="G504" s="2">
        <v>41</v>
      </c>
      <c r="H504" s="2" t="str">
        <f t="shared" si="18"/>
        <v>W</v>
      </c>
      <c r="I504" s="5">
        <v>18.100000000000001</v>
      </c>
      <c r="J504" s="5">
        <v>783</v>
      </c>
      <c r="K504" s="5">
        <v>7</v>
      </c>
      <c r="L504" s="5">
        <v>13.9</v>
      </c>
      <c r="M504" s="2" t="s">
        <v>191</v>
      </c>
      <c r="N504" s="5">
        <v>29.94</v>
      </c>
      <c r="O504" s="5">
        <v>18.16</v>
      </c>
      <c r="P504" s="5">
        <v>5.9</v>
      </c>
      <c r="Q504" s="2" t="s">
        <v>18</v>
      </c>
      <c r="R504" s="5">
        <v>82.01</v>
      </c>
      <c r="S504" s="5">
        <v>10.6</v>
      </c>
      <c r="T504" s="2">
        <v>2.78</v>
      </c>
      <c r="U504" s="2" t="str">
        <f>IF(T504&lt;=1, "1",IF(AND(T504&gt;1,T504&lt;4), "2-3", "+4"))</f>
        <v>2-3</v>
      </c>
      <c r="V504" s="5">
        <v>29.47</v>
      </c>
      <c r="W504" s="6" t="s">
        <v>1896</v>
      </c>
    </row>
    <row r="505" spans="1:24" x14ac:dyDescent="0.15">
      <c r="A505" s="1" t="s">
        <v>97</v>
      </c>
      <c r="B505" s="2" t="s">
        <v>3932</v>
      </c>
      <c r="C505" s="2" t="s">
        <v>966</v>
      </c>
      <c r="D505" s="1" t="s">
        <v>535</v>
      </c>
      <c r="E505" s="1" t="s">
        <v>965</v>
      </c>
      <c r="F505" s="1" t="s">
        <v>905</v>
      </c>
      <c r="G505" s="1">
        <v>41.4</v>
      </c>
      <c r="H505" s="2" t="str">
        <f t="shared" si="18"/>
        <v>W</v>
      </c>
      <c r="I505" s="8">
        <v>13.92</v>
      </c>
      <c r="J505" s="8">
        <v>377.7</v>
      </c>
      <c r="K505" s="8"/>
      <c r="L505" s="8">
        <v>6.9</v>
      </c>
      <c r="M505" s="2" t="s">
        <v>191</v>
      </c>
      <c r="N505" s="8">
        <v>32.14</v>
      </c>
      <c r="O505" s="8">
        <v>17.5</v>
      </c>
      <c r="P505" s="8">
        <v>6.01</v>
      </c>
      <c r="Q505" s="1" t="s">
        <v>18</v>
      </c>
      <c r="R505" s="8">
        <v>41.96</v>
      </c>
      <c r="S505" s="8">
        <v>12.64</v>
      </c>
      <c r="T505" s="1"/>
      <c r="U505" s="1"/>
      <c r="V505" s="8"/>
      <c r="W505" s="3" t="s">
        <v>5397</v>
      </c>
      <c r="X505" s="1"/>
    </row>
    <row r="506" spans="1:24" x14ac:dyDescent="0.15">
      <c r="A506" s="2" t="s">
        <v>97</v>
      </c>
      <c r="B506" s="2" t="s">
        <v>3932</v>
      </c>
      <c r="C506" s="2" t="s">
        <v>966</v>
      </c>
      <c r="D506" s="2" t="s">
        <v>535</v>
      </c>
      <c r="E506" s="1" t="s">
        <v>965</v>
      </c>
      <c r="F506" s="4" t="s">
        <v>177</v>
      </c>
      <c r="G506" s="4">
        <v>41.95</v>
      </c>
      <c r="H506" s="2" t="str">
        <f t="shared" si="18"/>
        <v>W</v>
      </c>
      <c r="I506" s="5"/>
      <c r="J506" s="5"/>
      <c r="K506" s="33"/>
      <c r="L506" s="33">
        <v>11.4</v>
      </c>
      <c r="M506" s="4" t="s">
        <v>191</v>
      </c>
      <c r="N506" s="33"/>
      <c r="O506" s="33"/>
      <c r="P506" s="33">
        <v>6</v>
      </c>
      <c r="Q506" s="4" t="s">
        <v>18</v>
      </c>
      <c r="R506" s="33">
        <v>68.3</v>
      </c>
      <c r="S506" s="33"/>
      <c r="T506" s="4"/>
      <c r="U506" s="4"/>
      <c r="V506" s="33"/>
      <c r="W506" s="10" t="s">
        <v>3608</v>
      </c>
    </row>
    <row r="507" spans="1:24" x14ac:dyDescent="0.15">
      <c r="A507" s="2" t="s">
        <v>97</v>
      </c>
      <c r="B507" s="2" t="s">
        <v>3932</v>
      </c>
      <c r="C507" s="2" t="s">
        <v>966</v>
      </c>
      <c r="D507" s="2" t="s">
        <v>535</v>
      </c>
      <c r="E507" s="1" t="s">
        <v>965</v>
      </c>
      <c r="F507" s="2" t="s">
        <v>2267</v>
      </c>
      <c r="H507" s="2" t="str">
        <f t="shared" si="18"/>
        <v>W</v>
      </c>
      <c r="I507" s="5">
        <v>14.79</v>
      </c>
      <c r="J507" s="5">
        <f xml:space="preserve"> 0.2823*I507^2.681</f>
        <v>386.71903792525808</v>
      </c>
      <c r="K507" s="5"/>
      <c r="L507" s="5">
        <v>7.2</v>
      </c>
      <c r="M507" s="2" t="s">
        <v>191</v>
      </c>
      <c r="N507" s="5"/>
      <c r="O507" s="5"/>
      <c r="P507" s="5"/>
      <c r="R507" s="5"/>
      <c r="S507" s="5"/>
      <c r="V507" s="5"/>
      <c r="W507" s="6" t="s">
        <v>2449</v>
      </c>
    </row>
    <row r="508" spans="1:24" x14ac:dyDescent="0.15">
      <c r="A508" s="2" t="s">
        <v>97</v>
      </c>
      <c r="B508" s="2" t="s">
        <v>3932</v>
      </c>
      <c r="C508" s="2" t="s">
        <v>966</v>
      </c>
      <c r="D508" s="2" t="s">
        <v>535</v>
      </c>
      <c r="E508" s="1" t="s">
        <v>3472</v>
      </c>
      <c r="F508" s="2" t="s">
        <v>2266</v>
      </c>
      <c r="G508" s="2">
        <v>47.64</v>
      </c>
      <c r="H508" s="2" t="str">
        <f t="shared" si="18"/>
        <v>W</v>
      </c>
      <c r="I508" s="5">
        <v>16.8</v>
      </c>
      <c r="J508" s="5">
        <v>600</v>
      </c>
      <c r="K508" s="5"/>
      <c r="L508" s="5">
        <v>8.8000000000000007</v>
      </c>
      <c r="M508" s="2" t="s">
        <v>191</v>
      </c>
      <c r="N508" s="5">
        <v>29.9</v>
      </c>
      <c r="O508" s="5">
        <v>19</v>
      </c>
      <c r="P508" s="5">
        <v>6.19</v>
      </c>
      <c r="Q508" s="2" t="s">
        <v>18</v>
      </c>
      <c r="R508" s="5">
        <v>54.47</v>
      </c>
      <c r="S508" s="5">
        <v>9.08</v>
      </c>
      <c r="T508" s="2">
        <v>1</v>
      </c>
      <c r="U508" s="2" t="str">
        <f>IF(T508&lt;=1, "1",IF(AND(T508&gt;1,T508&lt;4), "2-3", "+4"))</f>
        <v>1</v>
      </c>
      <c r="V508" s="5">
        <f>S508*T508</f>
        <v>9.08</v>
      </c>
      <c r="W508" s="6" t="s">
        <v>3417</v>
      </c>
    </row>
    <row r="509" spans="1:24" x14ac:dyDescent="0.15">
      <c r="A509" s="2" t="s">
        <v>97</v>
      </c>
      <c r="B509" s="2" t="s">
        <v>3932</v>
      </c>
      <c r="C509" s="2" t="s">
        <v>966</v>
      </c>
      <c r="D509" s="2" t="s">
        <v>535</v>
      </c>
      <c r="E509" s="1" t="s">
        <v>3472</v>
      </c>
      <c r="F509" s="2" t="s">
        <v>610</v>
      </c>
      <c r="G509" s="2">
        <v>30.12</v>
      </c>
      <c r="H509" s="2" t="str">
        <f t="shared" si="18"/>
        <v>W</v>
      </c>
      <c r="I509" s="5">
        <v>16.3</v>
      </c>
      <c r="J509" s="5">
        <v>610</v>
      </c>
      <c r="K509" s="5"/>
      <c r="L509" s="5">
        <v>5</v>
      </c>
      <c r="M509" s="4" t="s">
        <v>191</v>
      </c>
      <c r="N509" s="5">
        <v>32.200000000000003</v>
      </c>
      <c r="O509" s="5">
        <v>18.899999999999999</v>
      </c>
      <c r="P509" s="5">
        <f xml:space="preserve"> (0.233*N509) + (0.519*O509) - 10.521</f>
        <v>6.7907000000000011</v>
      </c>
      <c r="Q509" s="2" t="s">
        <v>376</v>
      </c>
      <c r="R509" s="5">
        <f>P509*L509</f>
        <v>33.953500000000005</v>
      </c>
      <c r="S509" s="5">
        <f>(R509/J509)*100</f>
        <v>5.5661475409836081</v>
      </c>
      <c r="V509" s="5"/>
      <c r="W509" s="6" t="s">
        <v>2213</v>
      </c>
    </row>
    <row r="510" spans="1:24" x14ac:dyDescent="0.15">
      <c r="A510" s="2" t="s">
        <v>97</v>
      </c>
      <c r="B510" s="2" t="s">
        <v>3932</v>
      </c>
      <c r="C510" s="2" t="s">
        <v>966</v>
      </c>
      <c r="D510" s="2" t="s">
        <v>535</v>
      </c>
      <c r="E510" s="1" t="s">
        <v>965</v>
      </c>
      <c r="F510" s="2" t="s">
        <v>118</v>
      </c>
      <c r="G510" s="2">
        <v>46</v>
      </c>
      <c r="H510" s="2" t="str">
        <f t="shared" si="18"/>
        <v>W</v>
      </c>
      <c r="I510" s="5">
        <f>12.63/0.93518</f>
        <v>13.505421416197953</v>
      </c>
      <c r="J510" s="5">
        <f xml:space="preserve"> 0.2823*I510^2.681</f>
        <v>303.11205024114224</v>
      </c>
      <c r="K510" s="5">
        <v>8</v>
      </c>
      <c r="L510" s="5">
        <f>AVERAGE(14.6,15.7,17)</f>
        <v>15.766666666666666</v>
      </c>
      <c r="M510" s="2" t="s">
        <v>191</v>
      </c>
      <c r="N510" s="5"/>
      <c r="O510" s="5"/>
      <c r="P510" s="5"/>
      <c r="R510" s="5"/>
      <c r="S510" s="5"/>
      <c r="V510" s="5"/>
      <c r="W510" s="6" t="s">
        <v>1936</v>
      </c>
    </row>
    <row r="511" spans="1:24" x14ac:dyDescent="0.15">
      <c r="A511" s="2" t="s">
        <v>97</v>
      </c>
      <c r="B511" s="2" t="s">
        <v>3932</v>
      </c>
      <c r="C511" s="2" t="s">
        <v>966</v>
      </c>
      <c r="D511" s="2" t="s">
        <v>535</v>
      </c>
      <c r="E511" s="1" t="s">
        <v>965</v>
      </c>
      <c r="F511" s="2" t="s">
        <v>119</v>
      </c>
      <c r="G511" s="2">
        <v>47</v>
      </c>
      <c r="H511" s="2" t="str">
        <f t="shared" si="18"/>
        <v>W</v>
      </c>
      <c r="I511" s="5">
        <f>13.2/0.93518</f>
        <v>14.114929746145126</v>
      </c>
      <c r="J511" s="5">
        <f xml:space="preserve"> 0.2823*I511^2.681</f>
        <v>341.19254146901369</v>
      </c>
      <c r="K511" s="5">
        <v>10</v>
      </c>
      <c r="L511" s="5">
        <v>13.4</v>
      </c>
      <c r="M511" s="2" t="s">
        <v>191</v>
      </c>
      <c r="N511" s="5"/>
      <c r="O511" s="5"/>
      <c r="P511" s="5"/>
      <c r="R511" s="5"/>
      <c r="S511" s="5"/>
      <c r="V511" s="5"/>
      <c r="W511" s="6" t="s">
        <v>1936</v>
      </c>
    </row>
    <row r="512" spans="1:24" x14ac:dyDescent="0.15">
      <c r="A512" s="2" t="s">
        <v>97</v>
      </c>
      <c r="B512" s="2" t="s">
        <v>3932</v>
      </c>
      <c r="C512" s="2" t="s">
        <v>966</v>
      </c>
      <c r="D512" s="2" t="s">
        <v>535</v>
      </c>
      <c r="E512" s="1" t="s">
        <v>965</v>
      </c>
      <c r="F512" s="2" t="s">
        <v>232</v>
      </c>
      <c r="G512" s="2">
        <v>33.299999999999997</v>
      </c>
      <c r="H512" s="2" t="str">
        <f t="shared" si="18"/>
        <v>W</v>
      </c>
      <c r="I512" s="5">
        <v>14.6</v>
      </c>
      <c r="J512" s="5">
        <v>423.7</v>
      </c>
      <c r="K512" s="5"/>
      <c r="L512" s="5">
        <v>7.5</v>
      </c>
      <c r="M512" s="2" t="s">
        <v>191</v>
      </c>
      <c r="N512" s="5">
        <v>28.86</v>
      </c>
      <c r="O512" s="5">
        <v>17.399999999999999</v>
      </c>
      <c r="P512" s="5">
        <f xml:space="preserve"> 0.233*N512 + 0.519*O512 - 10.521</f>
        <v>5.233979999999999</v>
      </c>
      <c r="Q512" s="2" t="s">
        <v>376</v>
      </c>
      <c r="R512" s="5">
        <v>40.545000000000002</v>
      </c>
      <c r="S512" s="5">
        <v>9.57</v>
      </c>
      <c r="V512" s="5"/>
      <c r="W512" s="6" t="s">
        <v>1792</v>
      </c>
    </row>
    <row r="513" spans="1:33" x14ac:dyDescent="0.15">
      <c r="A513" s="2" t="s">
        <v>97</v>
      </c>
      <c r="B513" s="2" t="s">
        <v>3932</v>
      </c>
      <c r="C513" s="2" t="s">
        <v>966</v>
      </c>
      <c r="D513" s="2" t="s">
        <v>535</v>
      </c>
      <c r="E513" s="1" t="s">
        <v>965</v>
      </c>
      <c r="F513" s="2" t="s">
        <v>109</v>
      </c>
      <c r="G513" s="2">
        <v>33.1</v>
      </c>
      <c r="H513" s="2" t="str">
        <f t="shared" si="18"/>
        <v>W</v>
      </c>
      <c r="I513" s="5">
        <f>AVERAGE(14.8,14.4)</f>
        <v>14.600000000000001</v>
      </c>
      <c r="J513" s="5">
        <f>0.3169*I513^2.646</f>
        <v>381.76832772070378</v>
      </c>
      <c r="K513" s="5"/>
      <c r="L513" s="5"/>
      <c r="M513" s="2" t="s">
        <v>191</v>
      </c>
      <c r="N513" s="5"/>
      <c r="O513" s="5">
        <v>17.399999999999999</v>
      </c>
      <c r="P513" s="5"/>
      <c r="R513" s="5"/>
      <c r="S513" s="5"/>
      <c r="V513" s="5"/>
      <c r="W513" s="6" t="s">
        <v>1792</v>
      </c>
    </row>
    <row r="514" spans="1:33" x14ac:dyDescent="0.15">
      <c r="A514" s="2" t="s">
        <v>97</v>
      </c>
      <c r="B514" s="2" t="s">
        <v>3932</v>
      </c>
      <c r="C514" s="2" t="s">
        <v>966</v>
      </c>
      <c r="D514" s="2" t="s">
        <v>535</v>
      </c>
      <c r="E514" s="1" t="s">
        <v>3472</v>
      </c>
      <c r="F514" s="2" t="s">
        <v>609</v>
      </c>
      <c r="G514" s="2">
        <v>50.63</v>
      </c>
      <c r="H514" s="2" t="str">
        <f t="shared" si="18"/>
        <v>W</v>
      </c>
      <c r="I514" s="5">
        <v>18.84</v>
      </c>
      <c r="J514" s="5">
        <v>946.49</v>
      </c>
      <c r="K514" s="5"/>
      <c r="L514" s="5">
        <v>19.8</v>
      </c>
      <c r="M514" s="4" t="s">
        <v>191</v>
      </c>
      <c r="N514" s="5">
        <v>33.29</v>
      </c>
      <c r="O514" s="5">
        <v>20.22</v>
      </c>
      <c r="P514" s="5">
        <f xml:space="preserve"> (0.233*N514) + (0.519*O514) - 10.521</f>
        <v>7.7297499999999992</v>
      </c>
      <c r="Q514" s="2" t="s">
        <v>376</v>
      </c>
      <c r="R514" s="5">
        <f>P514*L514</f>
        <v>153.04904999999999</v>
      </c>
      <c r="S514" s="5">
        <f>(R514/J514)*100</f>
        <v>16.170170841741591</v>
      </c>
      <c r="T514" s="2">
        <v>1</v>
      </c>
      <c r="U514" s="2" t="str">
        <f>IF(T514&lt;=1, "1",IF(AND(T514&gt;1,T514&lt;4), "2-3", "+4"))</f>
        <v>1</v>
      </c>
      <c r="V514" s="5">
        <f>S514*T514</f>
        <v>16.170170841741591</v>
      </c>
      <c r="W514" s="6" t="s">
        <v>2222</v>
      </c>
    </row>
    <row r="515" spans="1:33" x14ac:dyDescent="0.15">
      <c r="A515" s="2" t="s">
        <v>97</v>
      </c>
      <c r="B515" s="2" t="s">
        <v>3932</v>
      </c>
      <c r="C515" s="2" t="s">
        <v>966</v>
      </c>
      <c r="D515" s="2" t="s">
        <v>535</v>
      </c>
      <c r="E515" s="1" t="s">
        <v>965</v>
      </c>
      <c r="F515" s="2" t="s">
        <v>158</v>
      </c>
      <c r="G515" s="9">
        <v>45.5</v>
      </c>
      <c r="H515" s="2" t="str">
        <f t="shared" si="18"/>
        <v>W</v>
      </c>
      <c r="I515" s="5">
        <v>17.5</v>
      </c>
      <c r="J515" s="5">
        <v>607.1</v>
      </c>
      <c r="K515" s="5"/>
      <c r="L515" s="5">
        <v>10</v>
      </c>
      <c r="M515" s="2" t="s">
        <v>191</v>
      </c>
      <c r="N515" s="5">
        <v>30.3</v>
      </c>
      <c r="O515" s="5">
        <v>18.2</v>
      </c>
      <c r="P515" s="5">
        <v>5.98</v>
      </c>
      <c r="Q515" s="2" t="s">
        <v>376</v>
      </c>
      <c r="R515" s="5">
        <v>59.85</v>
      </c>
      <c r="S515" s="5">
        <f>(R515/J515)*100</f>
        <v>9.858342941854719</v>
      </c>
      <c r="V515" s="5"/>
      <c r="W515" s="6" t="s">
        <v>2985</v>
      </c>
    </row>
    <row r="516" spans="1:33" x14ac:dyDescent="0.15">
      <c r="A516" s="2" t="s">
        <v>97</v>
      </c>
      <c r="B516" s="2" t="s">
        <v>3932</v>
      </c>
      <c r="C516" s="2" t="s">
        <v>966</v>
      </c>
      <c r="D516" s="2" t="s">
        <v>535</v>
      </c>
      <c r="E516" s="1" t="s">
        <v>965</v>
      </c>
      <c r="F516" s="2" t="s">
        <v>77</v>
      </c>
      <c r="G516" s="2">
        <v>42.45</v>
      </c>
      <c r="H516" s="2" t="str">
        <f t="shared" si="18"/>
        <v>W</v>
      </c>
      <c r="I516" s="5"/>
      <c r="J516" s="5"/>
      <c r="K516" s="5"/>
      <c r="L516" s="5">
        <v>6.7</v>
      </c>
      <c r="M516" s="2" t="s">
        <v>191</v>
      </c>
      <c r="N516" s="5"/>
      <c r="O516" s="5">
        <v>17.8</v>
      </c>
      <c r="P516" s="8">
        <f xml:space="preserve"> 0.7342*O516 - 7.369</f>
        <v>5.6997599999999995</v>
      </c>
      <c r="Q516" s="2" t="s">
        <v>376</v>
      </c>
      <c r="R516" s="5">
        <f>L516</f>
        <v>6.7</v>
      </c>
      <c r="S516" s="5"/>
      <c r="T516" s="9">
        <f>MEDIAN(1,2)</f>
        <v>1.5</v>
      </c>
      <c r="U516" s="2" t="str">
        <f>IF(T516&lt;=1, "1",IF(AND(T516&gt;1,T516&lt;4), "2-3", "+4"))</f>
        <v>2-3</v>
      </c>
      <c r="V516" s="5"/>
      <c r="W516" s="6" t="s">
        <v>3416</v>
      </c>
    </row>
    <row r="517" spans="1:33" x14ac:dyDescent="0.15">
      <c r="A517" s="2" t="s">
        <v>97</v>
      </c>
      <c r="B517" s="2" t="s">
        <v>3932</v>
      </c>
      <c r="C517" s="2" t="s">
        <v>966</v>
      </c>
      <c r="D517" s="2" t="s">
        <v>535</v>
      </c>
      <c r="E517" s="1" t="s">
        <v>965</v>
      </c>
      <c r="F517" s="2" t="s">
        <v>107</v>
      </c>
      <c r="G517" s="4">
        <v>37.68</v>
      </c>
      <c r="H517" s="2" t="str">
        <f t="shared" si="18"/>
        <v>W</v>
      </c>
      <c r="I517" s="5">
        <v>13.27</v>
      </c>
      <c r="J517" s="5">
        <f>0.3169*I517^2.646</f>
        <v>296.50956049879608</v>
      </c>
      <c r="K517" s="39">
        <f>MEDIAN(6,7)</f>
        <v>6.5</v>
      </c>
      <c r="L517" s="33">
        <v>4.16</v>
      </c>
      <c r="M517" s="4" t="s">
        <v>191</v>
      </c>
      <c r="N517" s="5">
        <v>30.03</v>
      </c>
      <c r="O517" s="5">
        <v>16.38</v>
      </c>
      <c r="P517" s="5">
        <v>4.6900000000000004</v>
      </c>
      <c r="Q517" s="2" t="s">
        <v>18</v>
      </c>
      <c r="R517" s="5">
        <v>19.510000000000002</v>
      </c>
      <c r="S517" s="5">
        <v>6.58</v>
      </c>
      <c r="T517" s="2">
        <v>2</v>
      </c>
      <c r="U517" s="2" t="str">
        <f>IF(T517&lt;=1, "1",IF(AND(T517&gt;1,T517&lt;4), "2-3", "+4"))</f>
        <v>2-3</v>
      </c>
      <c r="V517" s="5">
        <f>S517*T517</f>
        <v>13.16</v>
      </c>
      <c r="W517" s="6" t="s">
        <v>1910</v>
      </c>
    </row>
    <row r="518" spans="1:33" x14ac:dyDescent="0.15">
      <c r="A518" s="2" t="s">
        <v>97</v>
      </c>
      <c r="B518" s="2" t="s">
        <v>3932</v>
      </c>
      <c r="C518" s="2" t="s">
        <v>966</v>
      </c>
      <c r="D518" s="2" t="s">
        <v>535</v>
      </c>
      <c r="E518" s="1" t="s">
        <v>965</v>
      </c>
      <c r="F518" s="2" t="s">
        <v>107</v>
      </c>
      <c r="G518" s="4">
        <v>37.630000000000003</v>
      </c>
      <c r="H518" s="2" t="str">
        <f t="shared" si="18"/>
        <v>W</v>
      </c>
      <c r="I518" s="5">
        <v>13.27</v>
      </c>
      <c r="J518" s="5">
        <f>0.3169*I518^2.646</f>
        <v>296.50956049879608</v>
      </c>
      <c r="K518" s="5">
        <v>8</v>
      </c>
      <c r="L518" s="5">
        <v>4.0999999999999996</v>
      </c>
      <c r="M518" s="4" t="s">
        <v>191</v>
      </c>
      <c r="N518" s="5"/>
      <c r="O518" s="5"/>
      <c r="P518" s="5">
        <v>4.0999999999999996</v>
      </c>
      <c r="Q518" s="2" t="s">
        <v>18</v>
      </c>
      <c r="R518" s="5">
        <f>P518*L518</f>
        <v>16.809999999999999</v>
      </c>
      <c r="S518" s="5">
        <f>(R518/J518)*100</f>
        <v>5.6692944307501518</v>
      </c>
      <c r="V518" s="5"/>
      <c r="W518" s="6" t="s">
        <v>1853</v>
      </c>
    </row>
    <row r="519" spans="1:33" x14ac:dyDescent="0.15">
      <c r="A519" s="2" t="s">
        <v>97</v>
      </c>
      <c r="B519" s="2" t="s">
        <v>3932</v>
      </c>
      <c r="C519" s="2" t="s">
        <v>966</v>
      </c>
      <c r="D519" s="2" t="s">
        <v>535</v>
      </c>
      <c r="E519" s="1" t="s">
        <v>965</v>
      </c>
      <c r="F519" s="2" t="s">
        <v>107</v>
      </c>
      <c r="H519" s="2" t="s">
        <v>3887</v>
      </c>
      <c r="I519" s="5">
        <v>14</v>
      </c>
      <c r="J519" s="5">
        <v>372.8</v>
      </c>
      <c r="K519" s="5"/>
      <c r="L519" s="5">
        <v>5.7</v>
      </c>
      <c r="M519" s="5" t="s">
        <v>191</v>
      </c>
      <c r="N519" s="5">
        <v>30.3</v>
      </c>
      <c r="O519" s="5">
        <v>17.399999999999999</v>
      </c>
      <c r="P519" s="5">
        <v>5.5</v>
      </c>
      <c r="Q519" s="2" t="s">
        <v>18</v>
      </c>
      <c r="R519" s="5">
        <v>31.35</v>
      </c>
      <c r="S519" s="5">
        <v>8.0399999999999991</v>
      </c>
      <c r="V519" s="5"/>
      <c r="W519" s="6" t="s">
        <v>2221</v>
      </c>
    </row>
    <row r="520" spans="1:33" x14ac:dyDescent="0.15">
      <c r="A520" s="2" t="s">
        <v>97</v>
      </c>
      <c r="B520" s="2" t="s">
        <v>3932</v>
      </c>
      <c r="C520" s="2" t="s">
        <v>966</v>
      </c>
      <c r="D520" s="2" t="s">
        <v>535</v>
      </c>
      <c r="E520" s="1" t="s">
        <v>965</v>
      </c>
      <c r="F520" s="2" t="s">
        <v>260</v>
      </c>
      <c r="G520" s="2">
        <v>35.75</v>
      </c>
      <c r="H520" s="2" t="str">
        <f t="shared" si="18"/>
        <v>W</v>
      </c>
      <c r="I520" s="5">
        <v>11.86</v>
      </c>
      <c r="J520" s="5">
        <v>214</v>
      </c>
      <c r="K520" s="5">
        <v>4</v>
      </c>
      <c r="L520" s="5">
        <v>4.0999999999999996</v>
      </c>
      <c r="M520" s="2" t="s">
        <v>191</v>
      </c>
      <c r="N520" s="5">
        <v>30</v>
      </c>
      <c r="O520" s="5"/>
      <c r="P520" s="5">
        <v>5.84</v>
      </c>
      <c r="Q520" s="2" t="s">
        <v>376</v>
      </c>
      <c r="R520" s="5">
        <v>23.94</v>
      </c>
      <c r="S520" s="5">
        <v>11.19</v>
      </c>
      <c r="T520" s="2">
        <v>3.15</v>
      </c>
      <c r="U520" s="2" t="str">
        <f>IF(T520&lt;=1, "1",IF(AND(T520&gt;1,T520&lt;4), "2-3", "+4"))</f>
        <v>2-3</v>
      </c>
      <c r="V520" s="5">
        <f>S520*T520</f>
        <v>35.2485</v>
      </c>
      <c r="W520" s="6" t="s">
        <v>2986</v>
      </c>
    </row>
    <row r="521" spans="1:33" ht="12.75" customHeight="1" x14ac:dyDescent="0.15">
      <c r="A521" s="2" t="s">
        <v>97</v>
      </c>
      <c r="B521" s="2" t="s">
        <v>3932</v>
      </c>
      <c r="C521" s="2" t="s">
        <v>966</v>
      </c>
      <c r="D521" s="2" t="s">
        <v>535</v>
      </c>
      <c r="E521" s="1" t="s">
        <v>965</v>
      </c>
      <c r="F521" s="2" t="s">
        <v>523</v>
      </c>
      <c r="G521" s="2">
        <v>36.340000000000003</v>
      </c>
      <c r="H521" s="2" t="str">
        <f t="shared" si="18"/>
        <v>W</v>
      </c>
      <c r="I521" s="5">
        <v>13.01</v>
      </c>
      <c r="J521" s="5">
        <v>274.2</v>
      </c>
      <c r="K521" s="7">
        <f>MEDIAN(4,5)</f>
        <v>4.5</v>
      </c>
      <c r="L521" s="5">
        <v>4.8</v>
      </c>
      <c r="M521" s="2" t="s">
        <v>191</v>
      </c>
      <c r="N521" s="5">
        <v>31.78</v>
      </c>
      <c r="O521" s="5"/>
      <c r="P521" s="5">
        <v>6.52</v>
      </c>
      <c r="Q521" s="2" t="s">
        <v>376</v>
      </c>
      <c r="R521" s="5">
        <v>31.3</v>
      </c>
      <c r="S521" s="5">
        <v>11.42</v>
      </c>
      <c r="T521" s="2">
        <v>3.07</v>
      </c>
      <c r="U521" s="2" t="str">
        <f>IF(T521&lt;=1, "1",IF(AND(T521&gt;1,T521&lt;4), "2-3", "+4"))</f>
        <v>2-3</v>
      </c>
      <c r="V521" s="5">
        <f>S521*T521</f>
        <v>35.059399999999997</v>
      </c>
      <c r="W521" s="6" t="s">
        <v>2986</v>
      </c>
    </row>
    <row r="522" spans="1:33" ht="12.75" customHeight="1" x14ac:dyDescent="0.15">
      <c r="A522" s="2" t="s">
        <v>97</v>
      </c>
      <c r="B522" s="2" t="s">
        <v>3932</v>
      </c>
      <c r="C522" s="2" t="s">
        <v>966</v>
      </c>
      <c r="D522" s="2" t="s">
        <v>535</v>
      </c>
      <c r="E522" s="1" t="s">
        <v>965</v>
      </c>
      <c r="F522" s="2" t="s">
        <v>177</v>
      </c>
      <c r="G522" s="2">
        <v>39.56</v>
      </c>
      <c r="H522" s="2" t="str">
        <f t="shared" si="18"/>
        <v>W</v>
      </c>
      <c r="I522" s="5">
        <v>15.71</v>
      </c>
      <c r="J522" s="5">
        <v>454.6</v>
      </c>
      <c r="K522" s="7">
        <f>MEDIAN(4,6)</f>
        <v>5</v>
      </c>
      <c r="L522" s="5">
        <v>8.6999999999999993</v>
      </c>
      <c r="M522" s="2" t="s">
        <v>191</v>
      </c>
      <c r="N522" s="5">
        <v>32.020000000000003</v>
      </c>
      <c r="O522" s="5"/>
      <c r="P522" s="5">
        <v>6.61</v>
      </c>
      <c r="Q522" s="2" t="s">
        <v>376</v>
      </c>
      <c r="R522" s="5">
        <v>57.51</v>
      </c>
      <c r="S522" s="5">
        <v>12.65</v>
      </c>
      <c r="T522" s="2">
        <v>2.33</v>
      </c>
      <c r="U522" s="2" t="str">
        <f>IF(T522&lt;=1, "1",IF(AND(T522&gt;1,T522&lt;4), "2-3", "+4"))</f>
        <v>2-3</v>
      </c>
      <c r="V522" s="5">
        <f>S522*T522</f>
        <v>29.474500000000003</v>
      </c>
      <c r="W522" s="6" t="s">
        <v>2986</v>
      </c>
    </row>
    <row r="523" spans="1:33" ht="12.75" customHeight="1" x14ac:dyDescent="0.15">
      <c r="A523" s="2" t="s">
        <v>97</v>
      </c>
      <c r="B523" s="2" t="s">
        <v>3932</v>
      </c>
      <c r="C523" s="2" t="s">
        <v>966</v>
      </c>
      <c r="D523" s="2" t="s">
        <v>535</v>
      </c>
      <c r="E523" s="1" t="s">
        <v>965</v>
      </c>
      <c r="F523" s="2" t="s">
        <v>158</v>
      </c>
      <c r="G523" s="2">
        <v>47</v>
      </c>
      <c r="H523" s="2" t="str">
        <f t="shared" si="18"/>
        <v>W</v>
      </c>
      <c r="I523" s="5">
        <v>16.34</v>
      </c>
      <c r="J523" s="5">
        <v>505.2</v>
      </c>
      <c r="K523" s="7">
        <f>MEDIAN(7,8)</f>
        <v>7.5</v>
      </c>
      <c r="L523" s="5">
        <v>10.7</v>
      </c>
      <c r="M523" s="2" t="s">
        <v>191</v>
      </c>
      <c r="N523" s="5">
        <v>31.13</v>
      </c>
      <c r="O523" s="5"/>
      <c r="P523" s="5">
        <v>6.29</v>
      </c>
      <c r="Q523" s="2" t="s">
        <v>376</v>
      </c>
      <c r="R523" s="5">
        <v>67.069999999999993</v>
      </c>
      <c r="S523" s="5">
        <v>13.28</v>
      </c>
      <c r="T523" s="2">
        <v>1.62</v>
      </c>
      <c r="U523" s="2" t="str">
        <f>IF(T523&lt;=1, "1",IF(AND(T523&gt;1,T523&lt;4), "2-3", "+4"))</f>
        <v>2-3</v>
      </c>
      <c r="V523" s="5">
        <f>S523*T523</f>
        <v>21.5136</v>
      </c>
      <c r="W523" s="6" t="s">
        <v>2986</v>
      </c>
    </row>
    <row r="524" spans="1:33" ht="12.75" customHeight="1" x14ac:dyDescent="0.15">
      <c r="A524" s="2" t="s">
        <v>97</v>
      </c>
      <c r="B524" s="2" t="s">
        <v>3932</v>
      </c>
      <c r="C524" s="2" t="s">
        <v>966</v>
      </c>
      <c r="D524" s="2" t="s">
        <v>535</v>
      </c>
      <c r="E524" s="1" t="s">
        <v>965</v>
      </c>
      <c r="F524" s="2" t="s">
        <v>534</v>
      </c>
      <c r="H524" s="2" t="s">
        <v>3887</v>
      </c>
      <c r="I524" s="5">
        <v>14.1</v>
      </c>
      <c r="J524" s="5">
        <f xml:space="preserve"> 0.2823*I524^2.681</f>
        <v>340.22585893916107</v>
      </c>
      <c r="K524" s="5"/>
      <c r="L524" s="5">
        <v>5.44</v>
      </c>
      <c r="M524" s="5" t="s">
        <v>191</v>
      </c>
      <c r="N524" s="5">
        <v>31.29</v>
      </c>
      <c r="O524" s="5">
        <v>17.36</v>
      </c>
      <c r="P524" s="5">
        <v>5.78</v>
      </c>
      <c r="Q524" s="2" t="s">
        <v>376</v>
      </c>
      <c r="R524" s="5">
        <v>31.43</v>
      </c>
      <c r="S524" s="5">
        <f>(R524/J524)*100</f>
        <v>9.2379809394853467</v>
      </c>
      <c r="V524" s="5"/>
      <c r="W524" s="6" t="s">
        <v>2220</v>
      </c>
    </row>
    <row r="525" spans="1:33" x14ac:dyDescent="0.15">
      <c r="A525" s="1" t="s">
        <v>97</v>
      </c>
      <c r="B525" s="2" t="s">
        <v>3932</v>
      </c>
      <c r="C525" s="1" t="s">
        <v>966</v>
      </c>
      <c r="D525" s="1" t="s">
        <v>535</v>
      </c>
      <c r="E525" s="1" t="s">
        <v>965</v>
      </c>
      <c r="F525" s="1" t="s">
        <v>3923</v>
      </c>
      <c r="G525" s="1">
        <v>44.34</v>
      </c>
      <c r="H525" s="2" t="str">
        <f t="shared" si="18"/>
        <v>W</v>
      </c>
      <c r="I525" s="8">
        <v>14.71</v>
      </c>
      <c r="J525" s="8">
        <v>429.6</v>
      </c>
      <c r="K525" s="8"/>
      <c r="L525" s="8">
        <v>6.7</v>
      </c>
      <c r="M525" s="1" t="s">
        <v>191</v>
      </c>
      <c r="N525" s="8">
        <v>30.4</v>
      </c>
      <c r="O525" s="8">
        <v>17.100000000000001</v>
      </c>
      <c r="P525" s="8">
        <v>5.4370000000000003</v>
      </c>
      <c r="Q525" s="1" t="s">
        <v>376</v>
      </c>
      <c r="R525" s="8">
        <v>36.43</v>
      </c>
      <c r="S525" s="8">
        <v>8.48</v>
      </c>
      <c r="T525" s="1">
        <v>2</v>
      </c>
      <c r="U525" s="2" t="str">
        <f>IF(T525&lt;=1, "1",IF(AND(T525&gt;1,T525&lt;4), "2-3", "+4"))</f>
        <v>2-3</v>
      </c>
      <c r="V525" s="8">
        <v>8.48</v>
      </c>
      <c r="W525" s="6" t="s">
        <v>3924</v>
      </c>
      <c r="X525" s="1"/>
      <c r="Y525" s="1"/>
      <c r="Z525" s="1"/>
      <c r="AA525" s="1"/>
      <c r="AB525" s="1"/>
      <c r="AC525" s="1"/>
      <c r="AD525" s="1"/>
      <c r="AE525" s="1"/>
      <c r="AF525" s="1"/>
      <c r="AG525" s="1"/>
    </row>
    <row r="526" spans="1:33" x14ac:dyDescent="0.15">
      <c r="A526" s="2" t="s">
        <v>97</v>
      </c>
      <c r="B526" s="2" t="s">
        <v>3932</v>
      </c>
      <c r="C526" s="2" t="s">
        <v>966</v>
      </c>
      <c r="D526" s="2" t="s">
        <v>535</v>
      </c>
      <c r="E526" s="1" t="s">
        <v>965</v>
      </c>
      <c r="F526" s="2" t="s">
        <v>1913</v>
      </c>
      <c r="G526" s="2">
        <v>45</v>
      </c>
      <c r="H526" s="2" t="str">
        <f t="shared" ref="H526:H559" si="19">IF(G526="captive","C","W")</f>
        <v>W</v>
      </c>
      <c r="I526" s="5"/>
      <c r="J526" s="5"/>
      <c r="K526" s="5"/>
      <c r="L526" s="5">
        <v>8.5</v>
      </c>
      <c r="M526" s="2" t="s">
        <v>191</v>
      </c>
      <c r="N526" s="5"/>
      <c r="O526" s="5"/>
      <c r="P526" s="5"/>
      <c r="R526" s="5"/>
      <c r="S526" s="5"/>
      <c r="T526" s="9">
        <f>MEDIAN(1,2)</f>
        <v>1.5</v>
      </c>
      <c r="U526" s="2" t="str">
        <f>IF(T526&lt;=1, "1",IF(AND(T526&gt;1,T526&lt;4), "2-3", "+4"))</f>
        <v>2-3</v>
      </c>
      <c r="V526" s="5"/>
      <c r="W526" s="6" t="s">
        <v>3202</v>
      </c>
    </row>
    <row r="527" spans="1:33" x14ac:dyDescent="0.15">
      <c r="A527" s="2" t="s">
        <v>97</v>
      </c>
      <c r="B527" s="2" t="s">
        <v>3932</v>
      </c>
      <c r="C527" s="2" t="s">
        <v>966</v>
      </c>
      <c r="D527" s="2" t="s">
        <v>535</v>
      </c>
      <c r="E527" s="1" t="s">
        <v>965</v>
      </c>
      <c r="F527" s="2" t="s">
        <v>108</v>
      </c>
      <c r="G527" s="2">
        <v>48.2</v>
      </c>
      <c r="H527" s="2" t="str">
        <f t="shared" si="19"/>
        <v>W</v>
      </c>
      <c r="I527" s="5">
        <v>19.670000000000002</v>
      </c>
      <c r="J527" s="5">
        <v>900.43</v>
      </c>
      <c r="K527" s="5"/>
      <c r="L527" s="5">
        <v>14.42</v>
      </c>
      <c r="M527" s="2" t="s">
        <v>191</v>
      </c>
      <c r="N527" s="5">
        <f>(P527+10.521-(0.519*O527))/0.233</f>
        <v>33.820772532188833</v>
      </c>
      <c r="O527" s="5">
        <v>20.04</v>
      </c>
      <c r="P527" s="5">
        <v>7.76</v>
      </c>
      <c r="Q527" s="2" t="s">
        <v>18</v>
      </c>
      <c r="R527" s="5">
        <f>P527*L527</f>
        <v>111.89919999999999</v>
      </c>
      <c r="S527" s="5">
        <f>(R527/J527)*100</f>
        <v>12.427306953344514</v>
      </c>
      <c r="V527" s="5"/>
      <c r="W527" s="6" t="s">
        <v>1912</v>
      </c>
    </row>
    <row r="528" spans="1:33" x14ac:dyDescent="0.15">
      <c r="A528" s="2" t="s">
        <v>97</v>
      </c>
      <c r="B528" s="2" t="s">
        <v>3932</v>
      </c>
      <c r="C528" s="2" t="s">
        <v>966</v>
      </c>
      <c r="D528" s="2" t="s">
        <v>535</v>
      </c>
      <c r="E528" s="1" t="s">
        <v>965</v>
      </c>
      <c r="F528" s="2" t="s">
        <v>509</v>
      </c>
      <c r="G528" s="2">
        <v>44.39</v>
      </c>
      <c r="H528" s="2" t="str">
        <f t="shared" si="19"/>
        <v>W</v>
      </c>
      <c r="I528" s="5">
        <v>15.79</v>
      </c>
      <c r="J528" s="5">
        <v>501.5</v>
      </c>
      <c r="K528" s="5"/>
      <c r="L528" s="5">
        <v>7.6</v>
      </c>
      <c r="M528" s="2" t="s">
        <v>191</v>
      </c>
      <c r="N528" s="5"/>
      <c r="O528" s="5"/>
      <c r="P528" s="5"/>
      <c r="R528" s="5"/>
      <c r="S528" s="5"/>
      <c r="T528" s="2">
        <v>1</v>
      </c>
      <c r="U528" s="2" t="str">
        <f>IF(T528&lt;=1, "1",IF(AND(T528&gt;1,T528&lt;4), "2-3", "+4"))</f>
        <v>1</v>
      </c>
      <c r="V528" s="5"/>
      <c r="W528" s="6" t="s">
        <v>2987</v>
      </c>
    </row>
    <row r="529" spans="1:23" x14ac:dyDescent="0.15">
      <c r="A529" s="2" t="s">
        <v>97</v>
      </c>
      <c r="B529" s="2" t="s">
        <v>3932</v>
      </c>
      <c r="C529" s="2" t="s">
        <v>966</v>
      </c>
      <c r="D529" s="2" t="s">
        <v>535</v>
      </c>
      <c r="E529" s="1" t="s">
        <v>965</v>
      </c>
      <c r="F529" s="2" t="s">
        <v>181</v>
      </c>
      <c r="G529" s="2">
        <v>42.5</v>
      </c>
      <c r="H529" s="2" t="str">
        <f t="shared" si="19"/>
        <v>W</v>
      </c>
      <c r="I529" s="5">
        <v>13.96</v>
      </c>
      <c r="J529" s="5">
        <v>345.3</v>
      </c>
      <c r="K529" s="5"/>
      <c r="L529" s="5">
        <v>6.7</v>
      </c>
      <c r="M529" s="2" t="s">
        <v>191</v>
      </c>
      <c r="N529" s="5"/>
      <c r="O529" s="5">
        <v>17.600000000000001</v>
      </c>
      <c r="P529" s="5">
        <v>5.55</v>
      </c>
      <c r="Q529" s="2" t="s">
        <v>376</v>
      </c>
      <c r="R529" s="5">
        <v>37.200000000000003</v>
      </c>
      <c r="S529" s="5">
        <v>10.77</v>
      </c>
      <c r="V529" s="5"/>
      <c r="W529" s="6" t="s">
        <v>2988</v>
      </c>
    </row>
    <row r="530" spans="1:23" x14ac:dyDescent="0.15">
      <c r="A530" s="2" t="s">
        <v>97</v>
      </c>
      <c r="B530" s="2" t="s">
        <v>3932</v>
      </c>
      <c r="C530" s="2" t="s">
        <v>966</v>
      </c>
      <c r="D530" s="2" t="s">
        <v>535</v>
      </c>
      <c r="E530" s="1" t="s">
        <v>965</v>
      </c>
      <c r="F530" s="2" t="s">
        <v>158</v>
      </c>
      <c r="G530" s="2">
        <v>44.02</v>
      </c>
      <c r="H530" s="2" t="str">
        <f t="shared" si="19"/>
        <v>W</v>
      </c>
      <c r="I530" s="5">
        <v>20.38</v>
      </c>
      <c r="J530" s="5">
        <v>913.9</v>
      </c>
      <c r="K530" s="5">
        <v>7</v>
      </c>
      <c r="L530" s="5"/>
      <c r="M530" s="2" t="s">
        <v>191</v>
      </c>
      <c r="N530" s="5"/>
      <c r="O530" s="5"/>
      <c r="P530" s="5"/>
      <c r="R530" s="5"/>
      <c r="S530" s="5"/>
      <c r="V530" s="5"/>
      <c r="W530" s="6" t="s">
        <v>3203</v>
      </c>
    </row>
    <row r="531" spans="1:23" x14ac:dyDescent="0.15">
      <c r="A531" s="2" t="s">
        <v>97</v>
      </c>
      <c r="B531" s="2" t="s">
        <v>3932</v>
      </c>
      <c r="C531" s="2" t="s">
        <v>966</v>
      </c>
      <c r="D531" s="2" t="s">
        <v>535</v>
      </c>
      <c r="E531" s="1" t="s">
        <v>965</v>
      </c>
      <c r="F531" s="2" t="s">
        <v>114</v>
      </c>
      <c r="G531" s="2">
        <v>41</v>
      </c>
      <c r="H531" s="2" t="str">
        <f t="shared" si="19"/>
        <v>W</v>
      </c>
      <c r="I531" s="5">
        <v>15.57</v>
      </c>
      <c r="J531" s="5">
        <v>467.6</v>
      </c>
      <c r="K531" s="5"/>
      <c r="L531" s="5">
        <v>8.3000000000000007</v>
      </c>
      <c r="M531" s="2" t="s">
        <v>191</v>
      </c>
      <c r="N531" s="5">
        <f>(P531+10.521-(0.519*O531))/0.233</f>
        <v>31.504377682403437</v>
      </c>
      <c r="O531" s="5">
        <v>17.920000000000002</v>
      </c>
      <c r="P531" s="5">
        <v>6.12</v>
      </c>
      <c r="Q531" s="2" t="s">
        <v>18</v>
      </c>
      <c r="R531" s="5">
        <v>50.7</v>
      </c>
      <c r="S531" s="5">
        <v>11</v>
      </c>
      <c r="V531" s="5"/>
      <c r="W531" s="6" t="s">
        <v>1933</v>
      </c>
    </row>
    <row r="532" spans="1:23" x14ac:dyDescent="0.15">
      <c r="A532" s="2" t="s">
        <v>97</v>
      </c>
      <c r="B532" s="2" t="s">
        <v>3932</v>
      </c>
      <c r="C532" s="2" t="s">
        <v>966</v>
      </c>
      <c r="D532" s="2" t="s">
        <v>535</v>
      </c>
      <c r="E532" s="1" t="s">
        <v>965</v>
      </c>
      <c r="F532" s="2" t="s">
        <v>115</v>
      </c>
      <c r="G532" s="2">
        <v>41</v>
      </c>
      <c r="H532" s="2" t="str">
        <f t="shared" si="19"/>
        <v>W</v>
      </c>
      <c r="I532" s="5">
        <v>16.78</v>
      </c>
      <c r="J532" s="5">
        <v>535.20000000000005</v>
      </c>
      <c r="K532" s="5"/>
      <c r="L532" s="5">
        <v>9</v>
      </c>
      <c r="M532" s="2" t="s">
        <v>191</v>
      </c>
      <c r="N532" s="5">
        <f>(P532+10.521-(0.519*O532))/0.233</f>
        <v>36.650858369098721</v>
      </c>
      <c r="O532" s="5">
        <v>16.649999999999999</v>
      </c>
      <c r="P532" s="5">
        <v>6.66</v>
      </c>
      <c r="Q532" s="2" t="s">
        <v>18</v>
      </c>
      <c r="R532" s="5">
        <v>62.5</v>
      </c>
      <c r="S532" s="5">
        <v>12</v>
      </c>
      <c r="V532" s="5"/>
      <c r="W532" s="6" t="s">
        <v>1933</v>
      </c>
    </row>
    <row r="533" spans="1:23" x14ac:dyDescent="0.15">
      <c r="A533" s="2" t="s">
        <v>97</v>
      </c>
      <c r="B533" s="2" t="s">
        <v>3932</v>
      </c>
      <c r="C533" s="2" t="s">
        <v>966</v>
      </c>
      <c r="D533" s="2" t="s">
        <v>535</v>
      </c>
      <c r="E533" s="1" t="s">
        <v>965</v>
      </c>
      <c r="F533" s="2" t="s">
        <v>116</v>
      </c>
      <c r="G533" s="2">
        <v>41</v>
      </c>
      <c r="H533" s="2" t="str">
        <f t="shared" si="19"/>
        <v>W</v>
      </c>
      <c r="I533" s="5">
        <v>16.89</v>
      </c>
      <c r="J533" s="5">
        <v>589.29999999999995</v>
      </c>
      <c r="K533" s="5"/>
      <c r="L533" s="5">
        <v>11.8</v>
      </c>
      <c r="M533" s="2" t="s">
        <v>191</v>
      </c>
      <c r="N533" s="5">
        <f>(P533+10.521-(0.519*O533))/0.233</f>
        <v>28.748369098712448</v>
      </c>
      <c r="O533" s="5">
        <v>17.77</v>
      </c>
      <c r="P533" s="5">
        <v>5.4</v>
      </c>
      <c r="Q533" s="2" t="s">
        <v>18</v>
      </c>
      <c r="R533" s="5">
        <v>65.099999999999994</v>
      </c>
      <c r="S533" s="5">
        <v>11</v>
      </c>
      <c r="V533" s="5"/>
      <c r="W533" s="6" t="s">
        <v>1933</v>
      </c>
    </row>
    <row r="534" spans="1:23" x14ac:dyDescent="0.15">
      <c r="A534" s="2" t="s">
        <v>97</v>
      </c>
      <c r="B534" s="2" t="s">
        <v>3932</v>
      </c>
      <c r="C534" s="2" t="s">
        <v>966</v>
      </c>
      <c r="D534" s="2" t="s">
        <v>535</v>
      </c>
      <c r="E534" s="1" t="s">
        <v>965</v>
      </c>
      <c r="F534" s="2" t="s">
        <v>113</v>
      </c>
      <c r="G534" s="2">
        <v>42</v>
      </c>
      <c r="H534" s="2" t="str">
        <f t="shared" si="19"/>
        <v>W</v>
      </c>
      <c r="I534" s="5">
        <v>17.36</v>
      </c>
      <c r="J534" s="5">
        <v>655.20000000000005</v>
      </c>
      <c r="K534" s="5"/>
      <c r="L534" s="5">
        <v>13.8</v>
      </c>
      <c r="M534" s="2" t="s">
        <v>191</v>
      </c>
      <c r="N534" s="5">
        <f>(P534+10.521-(0.519*O534))/0.233</f>
        <v>28.525622317596568</v>
      </c>
      <c r="O534" s="5">
        <v>17.87</v>
      </c>
      <c r="P534" s="5">
        <v>5.4</v>
      </c>
      <c r="Q534" s="2" t="s">
        <v>18</v>
      </c>
      <c r="R534" s="5">
        <v>74</v>
      </c>
      <c r="S534" s="5">
        <v>11</v>
      </c>
      <c r="V534" s="5"/>
      <c r="W534" s="6" t="s">
        <v>1933</v>
      </c>
    </row>
    <row r="535" spans="1:23" x14ac:dyDescent="0.15">
      <c r="A535" s="2" t="s">
        <v>97</v>
      </c>
      <c r="B535" s="2" t="s">
        <v>3932</v>
      </c>
      <c r="C535" s="2" t="s">
        <v>966</v>
      </c>
      <c r="D535" s="2" t="s">
        <v>535</v>
      </c>
      <c r="E535" s="1" t="s">
        <v>965</v>
      </c>
      <c r="F535" s="2" t="s">
        <v>2941</v>
      </c>
      <c r="G535" s="2">
        <v>41.14</v>
      </c>
      <c r="H535" s="2" t="str">
        <f t="shared" si="19"/>
        <v>W</v>
      </c>
      <c r="I535" s="5">
        <v>16.690000000000001</v>
      </c>
      <c r="J535" s="5">
        <v>572</v>
      </c>
      <c r="K535" s="5"/>
      <c r="L535" s="5">
        <v>8.3000000000000007</v>
      </c>
      <c r="M535" s="2" t="s">
        <v>191</v>
      </c>
      <c r="N535" s="5">
        <v>32.24</v>
      </c>
      <c r="O535" s="5">
        <v>18.39</v>
      </c>
      <c r="P535" s="5">
        <v>6.48</v>
      </c>
      <c r="Q535" s="2" t="s">
        <v>18</v>
      </c>
      <c r="R535" s="5">
        <v>53.78</v>
      </c>
      <c r="S535" s="5">
        <v>9.4</v>
      </c>
      <c r="V535" s="5"/>
      <c r="W535" s="6" t="s">
        <v>2989</v>
      </c>
    </row>
    <row r="536" spans="1:23" x14ac:dyDescent="0.15">
      <c r="A536" s="2" t="s">
        <v>97</v>
      </c>
      <c r="B536" s="2" t="s">
        <v>3932</v>
      </c>
      <c r="C536" s="2" t="s">
        <v>966</v>
      </c>
      <c r="D536" s="2" t="s">
        <v>535</v>
      </c>
      <c r="E536" s="1" t="s">
        <v>965</v>
      </c>
      <c r="F536" s="2" t="s">
        <v>2942</v>
      </c>
      <c r="G536" s="2">
        <v>41.48</v>
      </c>
      <c r="H536" s="2" t="str">
        <f t="shared" si="19"/>
        <v>W</v>
      </c>
      <c r="I536" s="5">
        <v>15.3</v>
      </c>
      <c r="J536" s="5">
        <v>499</v>
      </c>
      <c r="K536" s="5"/>
      <c r="L536" s="5">
        <v>9</v>
      </c>
      <c r="M536" s="2" t="s">
        <v>191</v>
      </c>
      <c r="N536" s="5">
        <v>31.15</v>
      </c>
      <c r="O536" s="5">
        <v>17.61</v>
      </c>
      <c r="P536" s="5">
        <v>5.79</v>
      </c>
      <c r="Q536" s="2" t="s">
        <v>18</v>
      </c>
      <c r="R536" s="5">
        <v>52.11</v>
      </c>
      <c r="S536" s="5">
        <v>10.44</v>
      </c>
      <c r="V536" s="5"/>
      <c r="W536" s="6" t="s">
        <v>2989</v>
      </c>
    </row>
    <row r="537" spans="1:23" x14ac:dyDescent="0.15">
      <c r="A537" s="2" t="s">
        <v>97</v>
      </c>
      <c r="B537" s="2" t="s">
        <v>3932</v>
      </c>
      <c r="C537" s="2" t="s">
        <v>966</v>
      </c>
      <c r="D537" s="2" t="s">
        <v>535</v>
      </c>
      <c r="E537" s="1" t="s">
        <v>965</v>
      </c>
      <c r="F537" s="2" t="s">
        <v>2940</v>
      </c>
      <c r="G537" s="2">
        <v>42.17</v>
      </c>
      <c r="H537" s="2" t="str">
        <f t="shared" si="19"/>
        <v>W</v>
      </c>
      <c r="I537" s="5">
        <v>16.7</v>
      </c>
      <c r="J537" s="5">
        <v>637</v>
      </c>
      <c r="K537" s="5"/>
      <c r="L537" s="5">
        <v>11.8</v>
      </c>
      <c r="M537" s="2" t="s">
        <v>191</v>
      </c>
      <c r="N537" s="5">
        <v>29.53</v>
      </c>
      <c r="O537" s="5">
        <v>17.61</v>
      </c>
      <c r="P537" s="5">
        <v>5.45</v>
      </c>
      <c r="Q537" s="2" t="s">
        <v>18</v>
      </c>
      <c r="R537" s="5">
        <v>64.31</v>
      </c>
      <c r="S537" s="5">
        <v>10.1</v>
      </c>
      <c r="V537" s="5"/>
      <c r="W537" s="6" t="s">
        <v>2989</v>
      </c>
    </row>
    <row r="538" spans="1:23" x14ac:dyDescent="0.15">
      <c r="A538" s="2" t="s">
        <v>97</v>
      </c>
      <c r="B538" s="2" t="s">
        <v>3932</v>
      </c>
      <c r="C538" s="2" t="s">
        <v>966</v>
      </c>
      <c r="D538" s="2" t="s">
        <v>535</v>
      </c>
      <c r="E538" s="1" t="s">
        <v>965</v>
      </c>
      <c r="F538" s="2" t="s">
        <v>2939</v>
      </c>
      <c r="G538" s="2">
        <v>42</v>
      </c>
      <c r="H538" s="2" t="str">
        <f t="shared" si="19"/>
        <v>W</v>
      </c>
      <c r="I538" s="5">
        <v>17.32</v>
      </c>
      <c r="J538" s="5">
        <v>746</v>
      </c>
      <c r="K538" s="5"/>
      <c r="L538" s="5">
        <v>13.8</v>
      </c>
      <c r="M538" s="2" t="s">
        <v>191</v>
      </c>
      <c r="N538" s="5">
        <v>29.08</v>
      </c>
      <c r="O538" s="5">
        <v>17.95</v>
      </c>
      <c r="P538" s="5">
        <v>5.43</v>
      </c>
      <c r="Q538" s="2" t="s">
        <v>18</v>
      </c>
      <c r="R538" s="5">
        <v>79.930000000000007</v>
      </c>
      <c r="S538" s="5">
        <v>10.039999999999999</v>
      </c>
      <c r="V538" s="5"/>
      <c r="W538" s="6" t="s">
        <v>2989</v>
      </c>
    </row>
    <row r="539" spans="1:23" x14ac:dyDescent="0.15">
      <c r="A539" s="2" t="s">
        <v>97</v>
      </c>
      <c r="B539" s="2" t="s">
        <v>3932</v>
      </c>
      <c r="C539" s="2" t="s">
        <v>966</v>
      </c>
      <c r="D539" s="2" t="s">
        <v>535</v>
      </c>
      <c r="E539" s="1" t="s">
        <v>965</v>
      </c>
      <c r="F539" s="2" t="s">
        <v>112</v>
      </c>
      <c r="G539" s="2">
        <v>45</v>
      </c>
      <c r="H539" s="2" t="str">
        <f t="shared" si="19"/>
        <v>W</v>
      </c>
      <c r="I539" s="5">
        <v>14.86</v>
      </c>
      <c r="J539" s="5">
        <v>370.1</v>
      </c>
      <c r="K539" s="5"/>
      <c r="L539" s="5">
        <v>6.2</v>
      </c>
      <c r="M539" s="2" t="s">
        <v>191</v>
      </c>
      <c r="N539" s="5">
        <f>(P539+10.521-(0.519*O539))/0.233</f>
        <v>29.333991416309015</v>
      </c>
      <c r="O539" s="5">
        <v>18.22</v>
      </c>
      <c r="P539" s="5">
        <v>5.77</v>
      </c>
      <c r="Q539" s="2" t="s">
        <v>18</v>
      </c>
      <c r="R539" s="5">
        <v>38.86</v>
      </c>
      <c r="S539" s="5">
        <f>(R539/J539)*100</f>
        <v>10.499864901378004</v>
      </c>
      <c r="V539" s="5"/>
      <c r="W539" s="6" t="s">
        <v>1932</v>
      </c>
    </row>
    <row r="540" spans="1:23" x14ac:dyDescent="0.15">
      <c r="A540" s="2" t="s">
        <v>97</v>
      </c>
      <c r="B540" s="2" t="s">
        <v>3932</v>
      </c>
      <c r="C540" s="2" t="s">
        <v>966</v>
      </c>
      <c r="D540" s="2" t="s">
        <v>535</v>
      </c>
      <c r="E540" s="1" t="s">
        <v>965</v>
      </c>
      <c r="F540" s="2" t="s">
        <v>509</v>
      </c>
      <c r="G540" s="2">
        <v>44.37</v>
      </c>
      <c r="H540" s="2" t="str">
        <f t="shared" si="19"/>
        <v>W</v>
      </c>
      <c r="I540" s="5">
        <v>15.56</v>
      </c>
      <c r="J540" s="5">
        <v>496.54</v>
      </c>
      <c r="K540" s="5"/>
      <c r="L540" s="5">
        <v>7.9</v>
      </c>
      <c r="M540" s="2" t="s">
        <v>191</v>
      </c>
      <c r="N540" s="5"/>
      <c r="O540" s="5">
        <v>19.04</v>
      </c>
      <c r="P540" s="5">
        <v>5.93</v>
      </c>
      <c r="Q540" s="2" t="s">
        <v>18</v>
      </c>
      <c r="R540" s="5">
        <v>46.86</v>
      </c>
      <c r="S540" s="5">
        <f>(R540/J540)*100</f>
        <v>9.4373061586176341</v>
      </c>
      <c r="T540" s="2">
        <v>1.1200000000000001</v>
      </c>
      <c r="U540" s="2">
        <v>1</v>
      </c>
      <c r="V540" s="5">
        <f>S540*T540</f>
        <v>10.569782897651752</v>
      </c>
      <c r="W540" s="6" t="s">
        <v>2990</v>
      </c>
    </row>
    <row r="541" spans="1:23" x14ac:dyDescent="0.15">
      <c r="A541" s="2" t="s">
        <v>97</v>
      </c>
      <c r="B541" s="2" t="s">
        <v>3932</v>
      </c>
      <c r="C541" s="2" t="s">
        <v>966</v>
      </c>
      <c r="D541" s="2" t="s">
        <v>535</v>
      </c>
      <c r="E541" s="1" t="s">
        <v>3827</v>
      </c>
      <c r="F541" s="2" t="s">
        <v>5159</v>
      </c>
      <c r="G541" s="2">
        <v>45.57</v>
      </c>
      <c r="H541" s="2" t="str">
        <f t="shared" si="19"/>
        <v>W</v>
      </c>
      <c r="I541" s="5"/>
      <c r="J541" s="5"/>
      <c r="K541" s="5">
        <v>14.1</v>
      </c>
      <c r="L541" s="5">
        <v>9.51</v>
      </c>
      <c r="M541" s="2" t="s">
        <v>191</v>
      </c>
      <c r="N541" s="5">
        <v>32.299999999999997</v>
      </c>
      <c r="O541" s="5">
        <v>18.54</v>
      </c>
      <c r="P541" s="5">
        <v>6.72</v>
      </c>
      <c r="Q541" s="2" t="s">
        <v>18</v>
      </c>
      <c r="R541" s="5">
        <v>63.91</v>
      </c>
      <c r="S541" s="5"/>
      <c r="T541" s="2">
        <v>1</v>
      </c>
      <c r="U541" s="2" t="s">
        <v>5160</v>
      </c>
      <c r="V541" s="5"/>
      <c r="W541" s="6" t="s">
        <v>5161</v>
      </c>
    </row>
    <row r="542" spans="1:23" x14ac:dyDescent="0.15">
      <c r="A542" s="2" t="s">
        <v>97</v>
      </c>
      <c r="B542" s="2" t="s">
        <v>3932</v>
      </c>
      <c r="C542" s="2" t="s">
        <v>966</v>
      </c>
      <c r="D542" s="2" t="s">
        <v>535</v>
      </c>
      <c r="E542" s="1" t="s">
        <v>965</v>
      </c>
      <c r="F542" s="2" t="s">
        <v>2265</v>
      </c>
      <c r="G542" s="2">
        <v>45.57</v>
      </c>
      <c r="H542" s="2" t="str">
        <f t="shared" si="19"/>
        <v>W</v>
      </c>
      <c r="I542" s="5"/>
      <c r="J542" s="5"/>
      <c r="K542" s="5"/>
      <c r="L542" s="5">
        <v>6.9</v>
      </c>
      <c r="M542" s="2" t="s">
        <v>191</v>
      </c>
      <c r="N542" s="5">
        <v>30.9</v>
      </c>
      <c r="O542" s="5">
        <v>17.899999999999999</v>
      </c>
      <c r="P542" s="5">
        <v>6.35</v>
      </c>
      <c r="Q542" s="2" t="s">
        <v>18</v>
      </c>
      <c r="R542" s="5">
        <v>43.5</v>
      </c>
      <c r="S542" s="5"/>
      <c r="V542" s="5"/>
      <c r="W542" s="6" t="s">
        <v>2991</v>
      </c>
    </row>
    <row r="543" spans="1:23" x14ac:dyDescent="0.15">
      <c r="A543" s="2" t="s">
        <v>97</v>
      </c>
      <c r="B543" s="2" t="s">
        <v>3932</v>
      </c>
      <c r="C543" s="2" t="s">
        <v>966</v>
      </c>
      <c r="D543" s="2" t="s">
        <v>535</v>
      </c>
      <c r="E543" s="1" t="s">
        <v>965</v>
      </c>
      <c r="F543" s="2" t="s">
        <v>2265</v>
      </c>
      <c r="G543" s="2">
        <v>45.57</v>
      </c>
      <c r="H543" s="2" t="str">
        <f t="shared" si="19"/>
        <v>W</v>
      </c>
      <c r="I543" s="5"/>
      <c r="J543" s="5"/>
      <c r="K543" s="5"/>
      <c r="L543" s="5">
        <v>7.4</v>
      </c>
      <c r="M543" s="2" t="s">
        <v>191</v>
      </c>
      <c r="N543" s="5">
        <v>32</v>
      </c>
      <c r="O543" s="5">
        <v>18.600000000000001</v>
      </c>
      <c r="P543" s="5">
        <v>7</v>
      </c>
      <c r="Q543" s="2" t="s">
        <v>18</v>
      </c>
      <c r="R543" s="5">
        <v>51.6</v>
      </c>
      <c r="S543" s="5"/>
      <c r="V543" s="5"/>
      <c r="W543" s="6" t="s">
        <v>2991</v>
      </c>
    </row>
    <row r="544" spans="1:23" x14ac:dyDescent="0.15">
      <c r="A544" s="2" t="s">
        <v>97</v>
      </c>
      <c r="B544" s="2" t="s">
        <v>3932</v>
      </c>
      <c r="C544" s="2" t="s">
        <v>966</v>
      </c>
      <c r="D544" s="2" t="s">
        <v>535</v>
      </c>
      <c r="E544" s="1" t="s">
        <v>965</v>
      </c>
      <c r="F544" s="2" t="s">
        <v>2265</v>
      </c>
      <c r="G544" s="2">
        <v>45.57</v>
      </c>
      <c r="H544" s="2" t="str">
        <f t="shared" si="19"/>
        <v>W</v>
      </c>
      <c r="I544" s="5"/>
      <c r="J544" s="5"/>
      <c r="K544" s="5"/>
      <c r="L544" s="5">
        <v>7.4</v>
      </c>
      <c r="M544" s="2" t="s">
        <v>191</v>
      </c>
      <c r="N544" s="5">
        <v>30.4</v>
      </c>
      <c r="O544" s="5">
        <v>17.600000000000001</v>
      </c>
      <c r="P544" s="5">
        <v>6.08</v>
      </c>
      <c r="Q544" s="2" t="s">
        <v>18</v>
      </c>
      <c r="R544" s="5">
        <v>45.5</v>
      </c>
      <c r="S544" s="5"/>
      <c r="V544" s="5"/>
      <c r="W544" s="6" t="s">
        <v>2991</v>
      </c>
    </row>
    <row r="545" spans="1:23" x14ac:dyDescent="0.15">
      <c r="A545" s="2" t="s">
        <v>97</v>
      </c>
      <c r="B545" s="2" t="s">
        <v>3932</v>
      </c>
      <c r="C545" s="2" t="s">
        <v>966</v>
      </c>
      <c r="D545" s="2" t="s">
        <v>535</v>
      </c>
      <c r="E545" s="1" t="s">
        <v>965</v>
      </c>
      <c r="F545" s="2" t="s">
        <v>2265</v>
      </c>
      <c r="G545" s="2">
        <v>45.57</v>
      </c>
      <c r="H545" s="2" t="str">
        <f t="shared" si="19"/>
        <v>W</v>
      </c>
      <c r="I545" s="5"/>
      <c r="J545" s="5"/>
      <c r="K545" s="5"/>
      <c r="L545" s="5">
        <v>8</v>
      </c>
      <c r="M545" s="2" t="s">
        <v>191</v>
      </c>
      <c r="N545" s="5">
        <v>31.9</v>
      </c>
      <c r="O545" s="5">
        <v>18.2</v>
      </c>
      <c r="P545" s="5">
        <v>6.55</v>
      </c>
      <c r="Q545" s="2" t="s">
        <v>18</v>
      </c>
      <c r="R545" s="5">
        <v>52.7</v>
      </c>
      <c r="S545" s="5"/>
      <c r="V545" s="5"/>
      <c r="W545" s="6" t="s">
        <v>2991</v>
      </c>
    </row>
    <row r="546" spans="1:23" x14ac:dyDescent="0.15">
      <c r="A546" s="2" t="s">
        <v>97</v>
      </c>
      <c r="B546" s="2" t="s">
        <v>3932</v>
      </c>
      <c r="C546" s="2" t="s">
        <v>966</v>
      </c>
      <c r="D546" s="2" t="s">
        <v>535</v>
      </c>
      <c r="E546" s="1" t="s">
        <v>965</v>
      </c>
      <c r="F546" s="2" t="s">
        <v>148</v>
      </c>
      <c r="G546" s="2">
        <v>38.78</v>
      </c>
      <c r="H546" s="2" t="str">
        <f t="shared" si="19"/>
        <v>W</v>
      </c>
      <c r="I546" s="5">
        <v>14.2</v>
      </c>
      <c r="J546" s="5">
        <v>488.5</v>
      </c>
      <c r="K546" s="5"/>
      <c r="L546" s="5"/>
      <c r="M546" s="2" t="s">
        <v>191</v>
      </c>
      <c r="N546" s="5"/>
      <c r="O546" s="5"/>
      <c r="P546" s="5"/>
      <c r="R546" s="5"/>
      <c r="S546" s="5"/>
      <c r="V546" s="5"/>
      <c r="W546" s="6" t="s">
        <v>2992</v>
      </c>
    </row>
    <row r="547" spans="1:23" x14ac:dyDescent="0.15">
      <c r="A547" s="4" t="s">
        <v>97</v>
      </c>
      <c r="B547" s="2" t="s">
        <v>3932</v>
      </c>
      <c r="C547" s="4" t="s">
        <v>966</v>
      </c>
      <c r="D547" s="4" t="s">
        <v>535</v>
      </c>
      <c r="E547" s="1" t="s">
        <v>965</v>
      </c>
      <c r="F547" s="4" t="s">
        <v>77</v>
      </c>
      <c r="G547" s="4">
        <v>42.45</v>
      </c>
      <c r="H547" s="2" t="str">
        <f t="shared" si="19"/>
        <v>W</v>
      </c>
      <c r="I547" s="33">
        <v>14</v>
      </c>
      <c r="J547" s="33">
        <v>395.4</v>
      </c>
      <c r="K547" s="33">
        <v>7</v>
      </c>
      <c r="L547" s="33">
        <v>7.6</v>
      </c>
      <c r="M547" s="4" t="s">
        <v>191</v>
      </c>
      <c r="N547" s="5">
        <f>(P547+10.521-(0.519*O547))/0.233</f>
        <v>25.94678111587983</v>
      </c>
      <c r="O547" s="5">
        <v>16.600000000000001</v>
      </c>
      <c r="P547" s="5">
        <v>4.1399999999999997</v>
      </c>
      <c r="Q547" s="2" t="s">
        <v>18</v>
      </c>
      <c r="R547" s="5">
        <v>31.46</v>
      </c>
      <c r="S547" s="5">
        <v>8</v>
      </c>
      <c r="T547" s="2">
        <v>0.8</v>
      </c>
      <c r="U547" s="2" t="str">
        <f>IF(T547&lt;=1, "1",IF(AND(T547&gt;1,T547&lt;4), "2-3", "+4"))</f>
        <v>1</v>
      </c>
      <c r="V547" s="5">
        <f>S547*T547</f>
        <v>6.4</v>
      </c>
      <c r="W547" s="10" t="s">
        <v>1909</v>
      </c>
    </row>
    <row r="548" spans="1:23" x14ac:dyDescent="0.15">
      <c r="A548" s="2" t="s">
        <v>97</v>
      </c>
      <c r="B548" s="2" t="s">
        <v>3932</v>
      </c>
      <c r="C548" s="2" t="s">
        <v>966</v>
      </c>
      <c r="D548" s="2" t="s">
        <v>535</v>
      </c>
      <c r="E548" s="1" t="s">
        <v>965</v>
      </c>
      <c r="F548" s="2" t="s">
        <v>177</v>
      </c>
      <c r="G548" s="2">
        <v>39.14</v>
      </c>
      <c r="H548" s="2" t="str">
        <f t="shared" si="19"/>
        <v>W</v>
      </c>
      <c r="I548" s="5"/>
      <c r="J548" s="5"/>
      <c r="K548" s="5"/>
      <c r="L548" s="5">
        <v>8.2100000000000009</v>
      </c>
      <c r="M548" s="2" t="s">
        <v>191</v>
      </c>
      <c r="N548" s="5"/>
      <c r="O548" s="5"/>
      <c r="P548" s="5"/>
      <c r="R548" s="5"/>
      <c r="S548" s="5"/>
      <c r="T548" s="2">
        <v>2.12</v>
      </c>
      <c r="U548" s="2" t="str">
        <f>IF(T548&lt;=1, "1",IF(AND(T548&gt;1,T548&lt;4), "2-3", "+4"))</f>
        <v>2-3</v>
      </c>
      <c r="V548" s="5"/>
      <c r="W548" s="6" t="s">
        <v>3204</v>
      </c>
    </row>
    <row r="549" spans="1:23" x14ac:dyDescent="0.15">
      <c r="A549" s="2" t="s">
        <v>97</v>
      </c>
      <c r="B549" s="2" t="s">
        <v>3932</v>
      </c>
      <c r="C549" s="2" t="s">
        <v>966</v>
      </c>
      <c r="D549" s="2" t="s">
        <v>535</v>
      </c>
      <c r="E549" s="1" t="s">
        <v>965</v>
      </c>
      <c r="F549" s="2" t="s">
        <v>177</v>
      </c>
      <c r="G549" s="2">
        <v>39.1</v>
      </c>
      <c r="H549" s="2" t="str">
        <f t="shared" si="19"/>
        <v>W</v>
      </c>
      <c r="I549" s="5">
        <v>16.3</v>
      </c>
      <c r="J549" s="5">
        <v>620</v>
      </c>
      <c r="K549" s="5"/>
      <c r="L549" s="5">
        <v>8</v>
      </c>
      <c r="M549" s="2" t="s">
        <v>191</v>
      </c>
      <c r="N549" s="5">
        <v>32.5</v>
      </c>
      <c r="O549" s="5">
        <v>18.8</v>
      </c>
      <c r="P549" s="5">
        <v>7.16</v>
      </c>
      <c r="Q549" s="2" t="s">
        <v>18</v>
      </c>
      <c r="R549" s="5">
        <v>57.46</v>
      </c>
      <c r="S549" s="5">
        <v>9.27</v>
      </c>
      <c r="V549" s="5"/>
      <c r="W549" s="6" t="s">
        <v>2387</v>
      </c>
    </row>
    <row r="550" spans="1:23" x14ac:dyDescent="0.15">
      <c r="A550" s="2" t="s">
        <v>97</v>
      </c>
      <c r="B550" s="2" t="s">
        <v>3932</v>
      </c>
      <c r="C550" s="2" t="s">
        <v>966</v>
      </c>
      <c r="D550" s="2" t="s">
        <v>535</v>
      </c>
      <c r="E550" s="1" t="s">
        <v>965</v>
      </c>
      <c r="F550" s="2" t="s">
        <v>177</v>
      </c>
      <c r="G550" s="2">
        <v>39.14</v>
      </c>
      <c r="H550" s="2" t="str">
        <f t="shared" si="19"/>
        <v>W</v>
      </c>
      <c r="I550" s="5">
        <v>14.67</v>
      </c>
      <c r="J550" s="5">
        <v>378.4</v>
      </c>
      <c r="K550" s="5"/>
      <c r="L550" s="5">
        <v>8.14</v>
      </c>
      <c r="M550" s="2" t="s">
        <v>191</v>
      </c>
      <c r="N550" s="5">
        <v>29.95</v>
      </c>
      <c r="O550" s="5">
        <v>16.350000000000001</v>
      </c>
      <c r="P550" s="5">
        <v>4.9400000000000004</v>
      </c>
      <c r="Q550" s="2" t="s">
        <v>376</v>
      </c>
      <c r="R550" s="5">
        <v>40.229999999999997</v>
      </c>
      <c r="S550" s="5">
        <v>10.63</v>
      </c>
      <c r="V550" s="5"/>
      <c r="W550" s="6" t="s">
        <v>3205</v>
      </c>
    </row>
    <row r="551" spans="1:23" x14ac:dyDescent="0.15">
      <c r="A551" s="2" t="s">
        <v>97</v>
      </c>
      <c r="B551" s="2" t="s">
        <v>3932</v>
      </c>
      <c r="C551" s="2" t="s">
        <v>966</v>
      </c>
      <c r="D551" s="2" t="s">
        <v>535</v>
      </c>
      <c r="E551" s="1" t="s">
        <v>965</v>
      </c>
      <c r="F551" s="2" t="s">
        <v>177</v>
      </c>
      <c r="G551" s="2">
        <v>39</v>
      </c>
      <c r="H551" s="2" t="str">
        <f t="shared" si="19"/>
        <v>W</v>
      </c>
      <c r="I551" s="5">
        <v>16.3</v>
      </c>
      <c r="J551" s="5">
        <v>620</v>
      </c>
      <c r="K551" s="5"/>
      <c r="L551" s="5">
        <v>8</v>
      </c>
      <c r="M551" s="2" t="s">
        <v>191</v>
      </c>
      <c r="N551" s="5">
        <v>32.5</v>
      </c>
      <c r="O551" s="5">
        <v>18.8</v>
      </c>
      <c r="P551" s="5">
        <v>7.16</v>
      </c>
      <c r="Q551" s="2" t="s">
        <v>18</v>
      </c>
      <c r="R551" s="5">
        <v>57.46</v>
      </c>
      <c r="S551" s="5">
        <v>9.27</v>
      </c>
      <c r="V551" s="5"/>
      <c r="W551" s="6" t="s">
        <v>2349</v>
      </c>
    </row>
    <row r="552" spans="1:23" x14ac:dyDescent="0.15">
      <c r="A552" s="2" t="s">
        <v>97</v>
      </c>
      <c r="B552" s="2" t="s">
        <v>3932</v>
      </c>
      <c r="C552" s="2" t="s">
        <v>966</v>
      </c>
      <c r="D552" s="2" t="s">
        <v>535</v>
      </c>
      <c r="E552" s="1" t="s">
        <v>965</v>
      </c>
      <c r="F552" s="2" t="s">
        <v>177</v>
      </c>
      <c r="G552" s="2">
        <v>39.1</v>
      </c>
      <c r="H552" s="2" t="str">
        <f t="shared" si="19"/>
        <v>W</v>
      </c>
      <c r="I552" s="5">
        <v>15.2</v>
      </c>
      <c r="J552" s="5">
        <v>565</v>
      </c>
      <c r="K552" s="5"/>
      <c r="L552" s="5">
        <v>7.8</v>
      </c>
      <c r="M552" s="2" t="s">
        <v>191</v>
      </c>
      <c r="N552" s="5">
        <v>32.799999999999997</v>
      </c>
      <c r="O552" s="5">
        <v>18.399999999999999</v>
      </c>
      <c r="P552" s="5">
        <v>6.95</v>
      </c>
      <c r="Q552" s="2" t="s">
        <v>18</v>
      </c>
      <c r="R552" s="5">
        <v>54.21</v>
      </c>
      <c r="S552" s="5">
        <v>9.59</v>
      </c>
      <c r="V552" s="5"/>
      <c r="W552" s="6" t="s">
        <v>3206</v>
      </c>
    </row>
    <row r="553" spans="1:23" x14ac:dyDescent="0.15">
      <c r="A553" s="2" t="s">
        <v>97</v>
      </c>
      <c r="B553" s="2" t="s">
        <v>3932</v>
      </c>
      <c r="C553" s="2" t="s">
        <v>966</v>
      </c>
      <c r="D553" s="2" t="s">
        <v>535</v>
      </c>
      <c r="E553" s="1" t="s">
        <v>965</v>
      </c>
      <c r="F553" s="2" t="s">
        <v>111</v>
      </c>
      <c r="G553" s="2">
        <v>41</v>
      </c>
      <c r="H553" s="2" t="str">
        <f t="shared" si="19"/>
        <v>W</v>
      </c>
      <c r="I553" s="5">
        <f>15.11/0.9448</f>
        <v>15.992802709568162</v>
      </c>
      <c r="J553" s="5">
        <f>0.3169*I553^2.646</f>
        <v>485.85500077502775</v>
      </c>
      <c r="K553" s="5"/>
      <c r="L553" s="5">
        <v>10.14</v>
      </c>
      <c r="M553" s="2" t="s">
        <v>191</v>
      </c>
      <c r="N553" s="5"/>
      <c r="O553" s="5"/>
      <c r="P553" s="5">
        <v>6.11</v>
      </c>
      <c r="Q553" s="2" t="s">
        <v>18</v>
      </c>
      <c r="R553" s="5">
        <v>61.42</v>
      </c>
      <c r="S553" s="5">
        <f>(R553/J553)*100</f>
        <v>12.641631742397186</v>
      </c>
      <c r="V553" s="5"/>
      <c r="W553" s="6" t="s">
        <v>1931</v>
      </c>
    </row>
    <row r="554" spans="1:23" x14ac:dyDescent="0.15">
      <c r="A554" s="2" t="s">
        <v>97</v>
      </c>
      <c r="B554" s="2" t="s">
        <v>3932</v>
      </c>
      <c r="C554" s="2" t="s">
        <v>966</v>
      </c>
      <c r="D554" s="2" t="s">
        <v>535</v>
      </c>
      <c r="E554" s="1" t="s">
        <v>965</v>
      </c>
      <c r="F554" s="2" t="s">
        <v>77</v>
      </c>
      <c r="G554" s="2">
        <v>42.46</v>
      </c>
      <c r="H554" s="2" t="str">
        <f t="shared" si="19"/>
        <v>W</v>
      </c>
      <c r="I554" s="5">
        <v>13.9</v>
      </c>
      <c r="J554" s="5">
        <v>345</v>
      </c>
      <c r="K554" s="5">
        <v>7</v>
      </c>
      <c r="L554" s="5">
        <v>6</v>
      </c>
      <c r="M554" s="2" t="s">
        <v>191</v>
      </c>
      <c r="N554" s="5"/>
      <c r="O554" s="5"/>
      <c r="P554" s="5">
        <v>5.42</v>
      </c>
      <c r="Q554" s="2" t="s">
        <v>18</v>
      </c>
      <c r="R554" s="5">
        <v>32.5</v>
      </c>
      <c r="S554" s="5">
        <v>9.42</v>
      </c>
      <c r="T554" s="9">
        <f>MEDIAN(1,2)</f>
        <v>1.5</v>
      </c>
      <c r="U554" s="2" t="str">
        <f>IF(T554&lt;=1, "1",IF(AND(T554&gt;1,T554&lt;4), "2-3", "+4"))</f>
        <v>2-3</v>
      </c>
      <c r="V554" s="5">
        <f>S554*T554</f>
        <v>14.129999999999999</v>
      </c>
      <c r="W554" s="6" t="s">
        <v>2993</v>
      </c>
    </row>
    <row r="555" spans="1:23" x14ac:dyDescent="0.15">
      <c r="A555" s="2" t="s">
        <v>97</v>
      </c>
      <c r="B555" s="2" t="s">
        <v>3933</v>
      </c>
      <c r="C555" s="2" t="s">
        <v>968</v>
      </c>
      <c r="D555" s="2" t="s">
        <v>487</v>
      </c>
      <c r="E555" s="1"/>
      <c r="F555" s="2" t="s">
        <v>488</v>
      </c>
      <c r="G555" s="2">
        <v>41.2</v>
      </c>
      <c r="H555" s="2" t="str">
        <f t="shared" si="19"/>
        <v>W</v>
      </c>
      <c r="I555" s="5">
        <v>9.5299999999999994</v>
      </c>
      <c r="J555" s="5">
        <f xml:space="preserve"> 0.04462*I555^3.6943</f>
        <v>184.75341248740099</v>
      </c>
      <c r="K555" s="5"/>
      <c r="L555" s="5">
        <v>3</v>
      </c>
      <c r="M555" s="5" t="s">
        <v>191</v>
      </c>
      <c r="N555" s="5"/>
      <c r="O555" s="5"/>
      <c r="P555" s="5"/>
      <c r="R555" s="5"/>
      <c r="S555" s="5"/>
      <c r="V555" s="5"/>
      <c r="W555" s="6" t="s">
        <v>2224</v>
      </c>
    </row>
    <row r="556" spans="1:23" x14ac:dyDescent="0.15">
      <c r="A556" s="2" t="s">
        <v>97</v>
      </c>
      <c r="B556" s="2" t="s">
        <v>3933</v>
      </c>
      <c r="C556" s="2" t="s">
        <v>968</v>
      </c>
      <c r="D556" s="2" t="s">
        <v>487</v>
      </c>
      <c r="E556" s="1"/>
      <c r="F556" s="2" t="s">
        <v>527</v>
      </c>
      <c r="G556" s="2">
        <v>42.45</v>
      </c>
      <c r="H556" s="2" t="str">
        <f t="shared" si="19"/>
        <v>W</v>
      </c>
      <c r="I556" s="5">
        <v>12.7</v>
      </c>
      <c r="J556" s="5">
        <f xml:space="preserve"> 0.04462*I556^3.6943</f>
        <v>533.7177571019738</v>
      </c>
      <c r="K556" s="5"/>
      <c r="L556" s="5">
        <v>8</v>
      </c>
      <c r="M556" s="5" t="s">
        <v>191</v>
      </c>
      <c r="N556" s="5"/>
      <c r="O556" s="5"/>
      <c r="P556" s="5"/>
      <c r="R556" s="5"/>
      <c r="S556" s="5"/>
      <c r="V556" s="5"/>
      <c r="W556" s="6" t="s">
        <v>2224</v>
      </c>
    </row>
    <row r="557" spans="1:23" x14ac:dyDescent="0.15">
      <c r="A557" s="2" t="s">
        <v>97</v>
      </c>
      <c r="B557" s="2" t="s">
        <v>3933</v>
      </c>
      <c r="C557" s="2" t="s">
        <v>968</v>
      </c>
      <c r="D557" s="2" t="s">
        <v>487</v>
      </c>
      <c r="E557" s="1"/>
      <c r="F557" s="2" t="s">
        <v>374</v>
      </c>
      <c r="G557" s="2" t="s">
        <v>374</v>
      </c>
      <c r="H557" s="2" t="str">
        <f t="shared" si="19"/>
        <v>C</v>
      </c>
      <c r="I557" s="5">
        <v>11.11</v>
      </c>
      <c r="J557" s="5">
        <f xml:space="preserve"> 0.04462*I557^3.6943</f>
        <v>325.61995646094891</v>
      </c>
      <c r="K557" s="5"/>
      <c r="L557" s="5">
        <v>5.5</v>
      </c>
      <c r="M557" s="2" t="s">
        <v>191</v>
      </c>
      <c r="N557" s="5"/>
      <c r="O557" s="5"/>
      <c r="P557" s="5"/>
      <c r="R557" s="5"/>
      <c r="S557" s="5"/>
      <c r="V557" s="5"/>
      <c r="W557" s="6" t="s">
        <v>3418</v>
      </c>
    </row>
    <row r="558" spans="1:23" x14ac:dyDescent="0.15">
      <c r="A558" s="2" t="s">
        <v>97</v>
      </c>
      <c r="B558" s="2" t="s">
        <v>3933</v>
      </c>
      <c r="C558" s="2" t="s">
        <v>968</v>
      </c>
      <c r="D558" s="2" t="s">
        <v>487</v>
      </c>
      <c r="E558" s="1"/>
      <c r="F558" s="2" t="s">
        <v>908</v>
      </c>
      <c r="G558" s="9" t="s">
        <v>4139</v>
      </c>
      <c r="H558" s="2" t="str">
        <f t="shared" si="19"/>
        <v>W</v>
      </c>
      <c r="I558" s="5"/>
      <c r="J558" s="5"/>
      <c r="K558" s="5"/>
      <c r="L558" s="5">
        <v>2.1</v>
      </c>
      <c r="M558" s="2" t="s">
        <v>191</v>
      </c>
      <c r="N558" s="5">
        <v>33.200000000000003</v>
      </c>
      <c r="O558" s="5">
        <v>17.2</v>
      </c>
      <c r="P558" s="5">
        <v>6.2</v>
      </c>
      <c r="Q558" s="2" t="s">
        <v>18</v>
      </c>
      <c r="R558" s="5">
        <v>13.02</v>
      </c>
      <c r="S558" s="5"/>
      <c r="T558" s="9" t="s">
        <v>629</v>
      </c>
      <c r="U558" s="9" t="s">
        <v>395</v>
      </c>
      <c r="V558" s="5"/>
      <c r="W558" s="6" t="s">
        <v>4140</v>
      </c>
    </row>
    <row r="559" spans="1:23" x14ac:dyDescent="0.15">
      <c r="A559" s="2" t="s">
        <v>97</v>
      </c>
      <c r="B559" s="2" t="s">
        <v>3933</v>
      </c>
      <c r="C559" s="2" t="s">
        <v>968</v>
      </c>
      <c r="D559" s="2" t="s">
        <v>487</v>
      </c>
      <c r="E559" s="1"/>
      <c r="F559" s="2" t="s">
        <v>2265</v>
      </c>
      <c r="G559" s="2">
        <v>45.39</v>
      </c>
      <c r="H559" s="2" t="str">
        <f t="shared" si="19"/>
        <v>W</v>
      </c>
      <c r="I559" s="5">
        <v>10.51</v>
      </c>
      <c r="J559" s="5">
        <v>265</v>
      </c>
      <c r="K559" s="5"/>
      <c r="L559" s="5">
        <v>1</v>
      </c>
      <c r="M559" s="2" t="s">
        <v>191</v>
      </c>
      <c r="N559" s="5">
        <v>32.799999999999997</v>
      </c>
      <c r="O559" s="5">
        <v>18.5</v>
      </c>
      <c r="P559" s="5">
        <v>6.6360000000000001</v>
      </c>
      <c r="Q559" s="2" t="s">
        <v>376</v>
      </c>
      <c r="R559" s="5">
        <v>6.6360000000000001</v>
      </c>
      <c r="S559" s="5">
        <v>2.5</v>
      </c>
      <c r="V559" s="5"/>
      <c r="W559" s="6" t="s">
        <v>2450</v>
      </c>
    </row>
    <row r="560" spans="1:23" x14ac:dyDescent="0.15">
      <c r="A560" s="2" t="s">
        <v>97</v>
      </c>
      <c r="B560" s="2" t="s">
        <v>3933</v>
      </c>
      <c r="C560" s="2" t="s">
        <v>968</v>
      </c>
      <c r="D560" s="2" t="s">
        <v>487</v>
      </c>
      <c r="E560" s="1"/>
      <c r="F560" s="2" t="s">
        <v>120</v>
      </c>
      <c r="G560" s="2">
        <v>40.200000000000003</v>
      </c>
      <c r="H560" s="2" t="str">
        <f t="shared" ref="H560:H592" si="20">IF(G560="captive","C","W")</f>
        <v>W</v>
      </c>
      <c r="I560" s="5">
        <v>10.24</v>
      </c>
      <c r="J560" s="5">
        <f xml:space="preserve"> 0.04462*I560^3.6943</f>
        <v>240.92434989250768</v>
      </c>
      <c r="K560" s="5"/>
      <c r="L560" s="5">
        <v>3.875</v>
      </c>
      <c r="M560" s="2" t="s">
        <v>191</v>
      </c>
      <c r="N560" s="5">
        <v>32.96</v>
      </c>
      <c r="O560" s="5">
        <v>16.725000000000001</v>
      </c>
      <c r="P560" s="5">
        <f xml:space="preserve"> 0.246*N560+ 0.497*O560 - 10.627</f>
        <v>5.7934849999999987</v>
      </c>
      <c r="Q560" s="2" t="s">
        <v>376</v>
      </c>
      <c r="R560" s="5">
        <f>P560*L560</f>
        <v>22.449754374999994</v>
      </c>
      <c r="S560" s="5">
        <f>(R560/J560)*100</f>
        <v>9.318175761402415</v>
      </c>
      <c r="T560" s="9">
        <v>1</v>
      </c>
      <c r="U560" s="2" t="str">
        <f>IF(T560&lt;=1, "1",IF(AND(T560&gt;1,T560&lt;4), "2-3", "+4"))</f>
        <v>1</v>
      </c>
      <c r="V560" s="5">
        <f>T560*S560</f>
        <v>9.318175761402415</v>
      </c>
      <c r="W560" s="6" t="s">
        <v>3419</v>
      </c>
    </row>
    <row r="561" spans="1:23" x14ac:dyDescent="0.15">
      <c r="A561" s="2" t="s">
        <v>97</v>
      </c>
      <c r="B561" s="2" t="s">
        <v>3933</v>
      </c>
      <c r="C561" s="2" t="s">
        <v>968</v>
      </c>
      <c r="D561" s="2" t="s">
        <v>487</v>
      </c>
      <c r="E561" s="1"/>
      <c r="F561" s="4" t="s">
        <v>120</v>
      </c>
      <c r="G561" s="2">
        <v>40.200000000000003</v>
      </c>
      <c r="H561" s="2" t="str">
        <f t="shared" si="20"/>
        <v>W</v>
      </c>
      <c r="I561" s="5">
        <v>10.61</v>
      </c>
      <c r="J561" s="5">
        <f xml:space="preserve"> 0.04462*I561^3.6943</f>
        <v>274.68181518911535</v>
      </c>
      <c r="K561" s="5">
        <v>8</v>
      </c>
      <c r="L561" s="5">
        <v>3.2</v>
      </c>
      <c r="M561" s="2" t="s">
        <v>191</v>
      </c>
      <c r="N561" s="5"/>
      <c r="O561" s="5"/>
      <c r="P561" s="5"/>
      <c r="R561" s="5"/>
      <c r="S561" s="5"/>
      <c r="V561" s="5"/>
      <c r="W561" s="6" t="s">
        <v>1937</v>
      </c>
    </row>
    <row r="562" spans="1:23" x14ac:dyDescent="0.15">
      <c r="A562" s="2" t="s">
        <v>97</v>
      </c>
      <c r="B562" s="2" t="s">
        <v>3933</v>
      </c>
      <c r="C562" s="2" t="s">
        <v>968</v>
      </c>
      <c r="D562" s="2" t="s">
        <v>487</v>
      </c>
      <c r="E562" s="1"/>
      <c r="F562" s="2" t="s">
        <v>374</v>
      </c>
      <c r="G562" s="2" t="s">
        <v>374</v>
      </c>
      <c r="H562" s="2" t="str">
        <f t="shared" si="20"/>
        <v>C</v>
      </c>
      <c r="I562" s="5"/>
      <c r="J562" s="5"/>
      <c r="K562" s="5"/>
      <c r="L562" s="7">
        <f>MEDIAN(1,4)</f>
        <v>2.5</v>
      </c>
      <c r="M562" s="7" t="s">
        <v>191</v>
      </c>
      <c r="N562" s="7">
        <v>32</v>
      </c>
      <c r="O562" s="5">
        <v>17.2</v>
      </c>
      <c r="P562" s="5">
        <v>5.5</v>
      </c>
      <c r="Q562" s="2" t="s">
        <v>18</v>
      </c>
      <c r="R562" s="5">
        <f>P562*L562</f>
        <v>13.75</v>
      </c>
      <c r="S562" s="5"/>
      <c r="V562" s="5"/>
      <c r="W562" s="6" t="s">
        <v>2223</v>
      </c>
    </row>
    <row r="563" spans="1:23" x14ac:dyDescent="0.15">
      <c r="A563" s="2" t="s">
        <v>97</v>
      </c>
      <c r="B563" s="2" t="s">
        <v>3933</v>
      </c>
      <c r="C563" s="2" t="s">
        <v>968</v>
      </c>
      <c r="D563" s="2" t="s">
        <v>487</v>
      </c>
      <c r="E563" s="1"/>
      <c r="F563" s="2" t="s">
        <v>509</v>
      </c>
      <c r="G563" s="2">
        <v>43.4</v>
      </c>
      <c r="H563" s="2" t="str">
        <f t="shared" si="20"/>
        <v>W</v>
      </c>
      <c r="I563" s="5">
        <v>12.13</v>
      </c>
      <c r="J563" s="5">
        <f xml:space="preserve"> 0.04462*I563^3.6943</f>
        <v>450.43955690672487</v>
      </c>
      <c r="K563" s="5"/>
      <c r="L563" s="5">
        <v>5.27</v>
      </c>
      <c r="M563" s="2" t="s">
        <v>191</v>
      </c>
      <c r="N563" s="5"/>
      <c r="O563" s="5"/>
      <c r="P563" s="5"/>
      <c r="R563" s="5"/>
      <c r="S563" s="5"/>
      <c r="V563" s="5"/>
      <c r="W563" s="6" t="s">
        <v>2351</v>
      </c>
    </row>
    <row r="564" spans="1:23" x14ac:dyDescent="0.15">
      <c r="A564" s="2" t="s">
        <v>97</v>
      </c>
      <c r="B564" s="2" t="s">
        <v>3933</v>
      </c>
      <c r="C564" s="2" t="s">
        <v>968</v>
      </c>
      <c r="D564" s="2" t="s">
        <v>487</v>
      </c>
      <c r="E564" s="1"/>
      <c r="F564" s="2" t="s">
        <v>2267</v>
      </c>
      <c r="H564" s="2" t="str">
        <f t="shared" si="20"/>
        <v>W</v>
      </c>
      <c r="I564" s="5">
        <v>10.76</v>
      </c>
      <c r="J564" s="5">
        <f xml:space="preserve"> 0.04462*I564^3.6943</f>
        <v>289.30346811812888</v>
      </c>
      <c r="K564" s="5"/>
      <c r="L564" s="5">
        <v>4</v>
      </c>
      <c r="M564" s="2" t="s">
        <v>191</v>
      </c>
      <c r="N564" s="5"/>
      <c r="O564" s="5"/>
      <c r="P564" s="5"/>
      <c r="R564" s="5"/>
      <c r="S564" s="5"/>
      <c r="V564" s="5"/>
      <c r="W564" s="6" t="s">
        <v>2449</v>
      </c>
    </row>
    <row r="565" spans="1:23" x14ac:dyDescent="0.15">
      <c r="A565" s="2" t="s">
        <v>97</v>
      </c>
      <c r="B565" s="2" t="s">
        <v>3933</v>
      </c>
      <c r="C565" s="2" t="s">
        <v>968</v>
      </c>
      <c r="D565" s="2" t="s">
        <v>487</v>
      </c>
      <c r="E565" s="1"/>
      <c r="F565" s="2" t="s">
        <v>124</v>
      </c>
      <c r="G565" s="2">
        <v>45</v>
      </c>
      <c r="H565" s="2" t="str">
        <f t="shared" si="20"/>
        <v>W</v>
      </c>
      <c r="I565" s="5">
        <v>11.87</v>
      </c>
      <c r="J565" s="5">
        <f xml:space="preserve"> 0.04462*I565^3.6943</f>
        <v>415.78886731568991</v>
      </c>
      <c r="K565" s="5">
        <v>12</v>
      </c>
      <c r="L565" s="5">
        <v>5.3</v>
      </c>
      <c r="M565" s="2" t="s">
        <v>191</v>
      </c>
      <c r="N565" s="5">
        <f>(P565+10.627-(0.497*O565))/0.246</f>
        <v>31.221138211382115</v>
      </c>
      <c r="O565" s="5">
        <v>17.8</v>
      </c>
      <c r="P565" s="5">
        <v>5.9</v>
      </c>
      <c r="Q565" s="2" t="s">
        <v>18</v>
      </c>
      <c r="R565" s="5">
        <f>P565*L565</f>
        <v>31.27</v>
      </c>
      <c r="S565" s="5">
        <f>(R565/J565)*100</f>
        <v>7.5206438791585253</v>
      </c>
      <c r="V565" s="5"/>
      <c r="W565" s="6" t="s">
        <v>4062</v>
      </c>
    </row>
    <row r="566" spans="1:23" x14ac:dyDescent="0.15">
      <c r="A566" s="2" t="s">
        <v>97</v>
      </c>
      <c r="B566" s="2" t="s">
        <v>3933</v>
      </c>
      <c r="C566" s="2" t="s">
        <v>968</v>
      </c>
      <c r="D566" s="2" t="s">
        <v>487</v>
      </c>
      <c r="E566" s="1"/>
      <c r="F566" s="2" t="s">
        <v>123</v>
      </c>
      <c r="G566" s="2">
        <v>33</v>
      </c>
      <c r="H566" s="2" t="str">
        <f t="shared" si="20"/>
        <v>W</v>
      </c>
      <c r="I566" s="5">
        <v>10.388999999999999</v>
      </c>
      <c r="J566" s="5">
        <f xml:space="preserve"> 0.04462*I566^3.6943</f>
        <v>254.13118221028429</v>
      </c>
      <c r="K566" s="5"/>
      <c r="L566" s="5">
        <v>2.9</v>
      </c>
      <c r="M566" s="2" t="s">
        <v>191</v>
      </c>
      <c r="N566" s="5"/>
      <c r="O566" s="5"/>
      <c r="P566" s="5"/>
      <c r="R566" s="5"/>
      <c r="S566" s="5"/>
      <c r="T566" s="2">
        <v>1.2</v>
      </c>
      <c r="U566" s="2" t="str">
        <f>IF(T566&lt;=1, "1",IF(AND(T566&gt;1,T566&lt;4), "2-3", "+4"))</f>
        <v>2-3</v>
      </c>
      <c r="V566" s="5"/>
      <c r="W566" s="6" t="s">
        <v>1941</v>
      </c>
    </row>
    <row r="567" spans="1:23" x14ac:dyDescent="0.15">
      <c r="A567" s="2" t="s">
        <v>97</v>
      </c>
      <c r="B567" s="2" t="s">
        <v>3933</v>
      </c>
      <c r="C567" s="2" t="s">
        <v>968</v>
      </c>
      <c r="D567" s="2" t="s">
        <v>487</v>
      </c>
      <c r="E567" s="1"/>
      <c r="F567" s="2" t="s">
        <v>123</v>
      </c>
      <c r="G567" s="2">
        <v>33</v>
      </c>
      <c r="H567" s="2" t="str">
        <f t="shared" si="20"/>
        <v>W</v>
      </c>
      <c r="I567" s="5">
        <v>10.4</v>
      </c>
      <c r="J567" s="5">
        <v>193</v>
      </c>
      <c r="K567" s="5"/>
      <c r="L567" s="5">
        <v>2.8</v>
      </c>
      <c r="M567" s="2" t="s">
        <v>191</v>
      </c>
      <c r="N567" s="5">
        <f>(P567+10.627-(0.497*O567))/0.246</f>
        <v>33.667479674796745</v>
      </c>
      <c r="O567" s="5">
        <v>18.399999999999999</v>
      </c>
      <c r="P567" s="5">
        <v>6.8</v>
      </c>
      <c r="Q567" s="2" t="s">
        <v>18</v>
      </c>
      <c r="R567" s="5">
        <f>P567*L567</f>
        <v>19.04</v>
      </c>
      <c r="S567" s="5">
        <f>(R567/J567)*100</f>
        <v>9.8652849740932638</v>
      </c>
      <c r="V567" s="5"/>
      <c r="W567" s="6" t="s">
        <v>1940</v>
      </c>
    </row>
    <row r="568" spans="1:23" x14ac:dyDescent="0.15">
      <c r="A568" s="2" t="s">
        <v>97</v>
      </c>
      <c r="B568" s="2" t="s">
        <v>3933</v>
      </c>
      <c r="C568" s="2" t="s">
        <v>968</v>
      </c>
      <c r="D568" s="2" t="s">
        <v>487</v>
      </c>
      <c r="E568" s="1"/>
      <c r="F568" s="2" t="s">
        <v>107</v>
      </c>
      <c r="H568" s="2" t="str">
        <f t="shared" si="20"/>
        <v>W</v>
      </c>
      <c r="I568" s="5">
        <v>10.4</v>
      </c>
      <c r="J568" s="5">
        <v>164.5</v>
      </c>
      <c r="K568" s="5"/>
      <c r="L568" s="5">
        <v>3.4</v>
      </c>
      <c r="M568" s="4" t="s">
        <v>191</v>
      </c>
      <c r="N568" s="5">
        <v>32.299999999999997</v>
      </c>
      <c r="O568" s="5">
        <v>17.5</v>
      </c>
      <c r="P568" s="5">
        <v>6.4</v>
      </c>
      <c r="Q568" s="2" t="s">
        <v>18</v>
      </c>
      <c r="R568" s="5">
        <v>21.76</v>
      </c>
      <c r="S568" s="5">
        <v>13.23</v>
      </c>
      <c r="V568" s="5"/>
      <c r="W568" s="6" t="s">
        <v>2221</v>
      </c>
    </row>
    <row r="569" spans="1:23" x14ac:dyDescent="0.15">
      <c r="A569" s="2" t="s">
        <v>97</v>
      </c>
      <c r="B569" s="2" t="s">
        <v>3933</v>
      </c>
      <c r="C569" s="2" t="s">
        <v>968</v>
      </c>
      <c r="D569" s="2" t="s">
        <v>487</v>
      </c>
      <c r="E569" s="1"/>
      <c r="F569" s="2" t="s">
        <v>534</v>
      </c>
      <c r="H569" s="2" t="str">
        <f t="shared" si="20"/>
        <v>W</v>
      </c>
      <c r="I569" s="5">
        <v>10.1</v>
      </c>
      <c r="J569" s="5">
        <f xml:space="preserve"> 0.04462*I569^3.6943</f>
        <v>228.97813676190802</v>
      </c>
      <c r="K569" s="5"/>
      <c r="L569" s="5">
        <v>2.25</v>
      </c>
      <c r="M569" s="5" t="s">
        <v>191</v>
      </c>
      <c r="N569" s="5">
        <v>33.4</v>
      </c>
      <c r="O569" s="5">
        <v>17.27</v>
      </c>
      <c r="P569" s="5">
        <f xml:space="preserve"> 0.246*N569 + 0.497*O569 - 10.627</f>
        <v>6.1725900000000014</v>
      </c>
      <c r="Q569" s="2" t="s">
        <v>376</v>
      </c>
      <c r="R569" s="5">
        <v>13.89</v>
      </c>
      <c r="S569" s="5">
        <f>(R569/J569)*100</f>
        <v>6.0660813282985417</v>
      </c>
      <c r="V569" s="5"/>
      <c r="W569" s="6" t="s">
        <v>2220</v>
      </c>
    </row>
    <row r="570" spans="1:23" x14ac:dyDescent="0.15">
      <c r="A570" s="2" t="s">
        <v>97</v>
      </c>
      <c r="B570" s="2" t="s">
        <v>3933</v>
      </c>
      <c r="C570" s="2" t="s">
        <v>968</v>
      </c>
      <c r="D570" s="2" t="s">
        <v>487</v>
      </c>
      <c r="E570" s="1"/>
      <c r="F570" s="2" t="s">
        <v>121</v>
      </c>
      <c r="H570" s="2" t="str">
        <f t="shared" si="20"/>
        <v>W</v>
      </c>
      <c r="I570" s="5">
        <f>AVERAGE(11.18,11.04)</f>
        <v>11.11</v>
      </c>
      <c r="J570" s="5">
        <f>AVERAGE(221.6,219.2)</f>
        <v>220.39999999999998</v>
      </c>
      <c r="K570" s="5"/>
      <c r="L570" s="5">
        <f>AVERAGE(3.8,3.9)</f>
        <v>3.8499999999999996</v>
      </c>
      <c r="M570" s="2" t="s">
        <v>191</v>
      </c>
      <c r="N570" s="5">
        <f>(P570+10.627-(0.497*O570))/0.246</f>
        <v>31.522357723577244</v>
      </c>
      <c r="O570" s="5">
        <f>AVERAGE(17.6,17.4)</f>
        <v>17.5</v>
      </c>
      <c r="P570" s="5">
        <f>AVERAGE(5.82,5.83)</f>
        <v>5.8250000000000002</v>
      </c>
      <c r="Q570" s="2" t="s">
        <v>18</v>
      </c>
      <c r="R570" s="5">
        <f>P570*L570</f>
        <v>22.42625</v>
      </c>
      <c r="S570" s="5">
        <f>(R570/J570)*100</f>
        <v>10.175249546279492</v>
      </c>
      <c r="T570" s="2" t="s">
        <v>122</v>
      </c>
      <c r="V570" s="5"/>
      <c r="W570" s="6" t="s">
        <v>1939</v>
      </c>
    </row>
    <row r="571" spans="1:23" x14ac:dyDescent="0.15">
      <c r="A571" s="2" t="s">
        <v>97</v>
      </c>
      <c r="B571" s="2" t="s">
        <v>3933</v>
      </c>
      <c r="C571" s="2" t="s">
        <v>968</v>
      </c>
      <c r="D571" s="2" t="s">
        <v>487</v>
      </c>
      <c r="E571" s="1"/>
      <c r="F571" s="2" t="s">
        <v>374</v>
      </c>
      <c r="G571" s="2" t="s">
        <v>374</v>
      </c>
      <c r="H571" s="2" t="str">
        <f t="shared" si="20"/>
        <v>C</v>
      </c>
      <c r="I571" s="5">
        <v>10.55</v>
      </c>
      <c r="J571" s="5">
        <v>164</v>
      </c>
      <c r="K571" s="7"/>
      <c r="L571" s="5">
        <v>2</v>
      </c>
      <c r="M571" s="2" t="s">
        <v>191</v>
      </c>
      <c r="N571" s="5">
        <v>33</v>
      </c>
      <c r="O571" s="5">
        <v>17</v>
      </c>
      <c r="P571" s="5">
        <v>6.6</v>
      </c>
      <c r="Q571" s="2" t="s">
        <v>18</v>
      </c>
      <c r="R571" s="5">
        <v>13.2</v>
      </c>
      <c r="S571" s="5">
        <f>(R571/J571)*100</f>
        <v>8.0487804878048781</v>
      </c>
      <c r="T571" s="9" t="s">
        <v>399</v>
      </c>
      <c r="U571" s="9"/>
      <c r="V571" s="5"/>
      <c r="W571" s="6" t="s">
        <v>3278</v>
      </c>
    </row>
    <row r="572" spans="1:23" x14ac:dyDescent="0.15">
      <c r="A572" s="2" t="s">
        <v>97</v>
      </c>
      <c r="B572" s="2" t="s">
        <v>3933</v>
      </c>
      <c r="C572" s="2" t="s">
        <v>968</v>
      </c>
      <c r="D572" s="2" t="s">
        <v>487</v>
      </c>
      <c r="E572" s="1"/>
      <c r="F572" s="2" t="s">
        <v>374</v>
      </c>
      <c r="G572" s="2" t="s">
        <v>374</v>
      </c>
      <c r="H572" s="2" t="str">
        <f t="shared" si="20"/>
        <v>C</v>
      </c>
      <c r="I572" s="5">
        <v>10.1</v>
      </c>
      <c r="J572" s="5">
        <f xml:space="preserve"> 0.04462*I572^3.6943</f>
        <v>228.97813676190802</v>
      </c>
      <c r="K572" s="5"/>
      <c r="L572" s="5">
        <v>4.5</v>
      </c>
      <c r="M572" s="2" t="s">
        <v>191</v>
      </c>
      <c r="N572" s="5"/>
      <c r="O572" s="5"/>
      <c r="P572" s="5"/>
      <c r="R572" s="5"/>
      <c r="S572" s="5"/>
      <c r="T572" s="2" t="s">
        <v>410</v>
      </c>
      <c r="U572" s="40" t="s">
        <v>395</v>
      </c>
      <c r="V572" s="5"/>
      <c r="W572" s="6" t="s">
        <v>3420</v>
      </c>
    </row>
    <row r="573" spans="1:23" x14ac:dyDescent="0.15">
      <c r="A573" s="2" t="s">
        <v>97</v>
      </c>
      <c r="B573" s="2" t="s">
        <v>3932</v>
      </c>
      <c r="C573" s="2" t="s">
        <v>972</v>
      </c>
      <c r="D573" s="2" t="s">
        <v>700</v>
      </c>
      <c r="E573" s="1" t="s">
        <v>4121</v>
      </c>
      <c r="F573" s="2" t="s">
        <v>4122</v>
      </c>
      <c r="G573" s="2">
        <v>29.77</v>
      </c>
      <c r="H573" s="2" t="s">
        <v>3887</v>
      </c>
      <c r="I573" s="5">
        <v>18.100000000000001</v>
      </c>
      <c r="J573" s="5"/>
      <c r="K573" s="5"/>
      <c r="L573" s="5">
        <v>9.1999999999999993</v>
      </c>
      <c r="M573" s="2" t="s">
        <v>191</v>
      </c>
      <c r="N573" s="5"/>
      <c r="O573" s="5"/>
      <c r="P573" s="5"/>
      <c r="R573" s="5"/>
      <c r="S573" s="5"/>
      <c r="T573" s="9" t="s">
        <v>629</v>
      </c>
      <c r="U573" s="41" t="s">
        <v>395</v>
      </c>
      <c r="V573" s="5"/>
      <c r="W573" s="6" t="s">
        <v>4123</v>
      </c>
    </row>
    <row r="574" spans="1:23" x14ac:dyDescent="0.15">
      <c r="A574" s="2" t="s">
        <v>97</v>
      </c>
      <c r="B574" s="2" t="s">
        <v>3932</v>
      </c>
      <c r="C574" s="2" t="s">
        <v>972</v>
      </c>
      <c r="D574" s="2" t="s">
        <v>700</v>
      </c>
      <c r="E574" s="1" t="s">
        <v>973</v>
      </c>
      <c r="F574" s="2" t="s">
        <v>123</v>
      </c>
      <c r="G574" s="4">
        <v>33.33</v>
      </c>
      <c r="H574" s="2" t="str">
        <f t="shared" si="20"/>
        <v>W</v>
      </c>
      <c r="I574" s="5"/>
      <c r="J574" s="5">
        <v>1022</v>
      </c>
      <c r="K574" s="33">
        <v>5</v>
      </c>
      <c r="L574" s="33">
        <v>9.8000000000000007</v>
      </c>
      <c r="M574" s="4" t="s">
        <v>191</v>
      </c>
      <c r="N574" s="5">
        <f>(P574+18.431-(0.813*O574))/0.303</f>
        <v>35.33861386138615</v>
      </c>
      <c r="O574" s="5">
        <v>21.8</v>
      </c>
      <c r="P574" s="5">
        <v>10</v>
      </c>
      <c r="Q574" s="2" t="s">
        <v>18</v>
      </c>
      <c r="R574" s="5">
        <v>98</v>
      </c>
      <c r="S574" s="5">
        <v>9.59</v>
      </c>
      <c r="T574" s="2">
        <v>2</v>
      </c>
      <c r="U574" s="2" t="str">
        <f>IF(T574&lt;=1, "1",IF(AND(T574&gt;1,T574&lt;4), "2-3", "+4"))</f>
        <v>2-3</v>
      </c>
      <c r="V574" s="5">
        <v>19.18</v>
      </c>
      <c r="W574" s="10" t="s">
        <v>1943</v>
      </c>
    </row>
    <row r="575" spans="1:23" x14ac:dyDescent="0.15">
      <c r="A575" s="2" t="s">
        <v>97</v>
      </c>
      <c r="B575" s="2" t="s">
        <v>3932</v>
      </c>
      <c r="C575" s="2" t="s">
        <v>972</v>
      </c>
      <c r="D575" s="2" t="s">
        <v>700</v>
      </c>
      <c r="E575" s="1" t="s">
        <v>973</v>
      </c>
      <c r="F575" s="2" t="s">
        <v>89</v>
      </c>
      <c r="G575" s="2">
        <v>32</v>
      </c>
      <c r="H575" s="2" t="str">
        <f t="shared" si="20"/>
        <v>W</v>
      </c>
      <c r="I575" s="5">
        <f>AVERAGE(19.72,19.815,17.24,17.68)</f>
        <v>18.613749999999996</v>
      </c>
      <c r="J575" s="5">
        <f>AVERAGE(924.6,1714,1770,1180,1144,1168)</f>
        <v>1316.7666666666667</v>
      </c>
      <c r="K575" s="5"/>
      <c r="L575" s="5">
        <v>10.6</v>
      </c>
      <c r="M575" s="2" t="s">
        <v>191</v>
      </c>
      <c r="N575" s="5">
        <f>(P575+18.431-(0.813*O575))/0.303</f>
        <v>38.018349834983518</v>
      </c>
      <c r="O575" s="5">
        <v>22.88</v>
      </c>
      <c r="P575" s="5">
        <v>11.69</v>
      </c>
      <c r="Q575" s="2" t="s">
        <v>18</v>
      </c>
      <c r="R575" s="5">
        <f>P575*L575</f>
        <v>123.91399999999999</v>
      </c>
      <c r="S575" s="5">
        <f>(R575/J575)*100</f>
        <v>9.4104751537857876</v>
      </c>
      <c r="V575" s="5"/>
      <c r="W575" s="6" t="s">
        <v>1945</v>
      </c>
    </row>
    <row r="576" spans="1:23" x14ac:dyDescent="0.15">
      <c r="A576" s="2" t="s">
        <v>97</v>
      </c>
      <c r="B576" s="2" t="s">
        <v>3932</v>
      </c>
      <c r="C576" s="2" t="s">
        <v>972</v>
      </c>
      <c r="D576" s="2" t="s">
        <v>700</v>
      </c>
      <c r="E576" s="1" t="s">
        <v>973</v>
      </c>
      <c r="F576" s="2" t="s">
        <v>126</v>
      </c>
      <c r="G576" s="2">
        <v>33</v>
      </c>
      <c r="H576" s="2" t="str">
        <f t="shared" si="20"/>
        <v>W</v>
      </c>
      <c r="I576" s="5">
        <f>16/0.905</f>
        <v>17.679558011049725</v>
      </c>
      <c r="J576" s="5">
        <f xml:space="preserve"> 0.005727*(I576*10)^2.2953</f>
        <v>825.17924393278099</v>
      </c>
      <c r="K576" s="5"/>
      <c r="L576" s="5">
        <v>8</v>
      </c>
      <c r="M576" s="2" t="s">
        <v>191</v>
      </c>
      <c r="N576" s="5">
        <v>34.79</v>
      </c>
      <c r="O576" s="5">
        <v>20.82</v>
      </c>
      <c r="P576" s="5">
        <v>9.06</v>
      </c>
      <c r="Q576" s="2" t="s">
        <v>18</v>
      </c>
      <c r="R576" s="5">
        <v>72.5</v>
      </c>
      <c r="S576" s="5">
        <f>(R576/J576)*100</f>
        <v>8.7859699008505174</v>
      </c>
      <c r="V576" s="5"/>
      <c r="W576" s="6" t="s">
        <v>1783</v>
      </c>
    </row>
    <row r="577" spans="1:23" x14ac:dyDescent="0.15">
      <c r="A577" s="2" t="s">
        <v>97</v>
      </c>
      <c r="B577" s="2" t="s">
        <v>3932</v>
      </c>
      <c r="C577" s="2" t="s">
        <v>972</v>
      </c>
      <c r="D577" s="2" t="s">
        <v>700</v>
      </c>
      <c r="E577" s="1" t="s">
        <v>973</v>
      </c>
      <c r="F577" s="2" t="s">
        <v>123</v>
      </c>
      <c r="G577" s="2">
        <v>33.33</v>
      </c>
      <c r="H577" s="2" t="str">
        <f t="shared" si="20"/>
        <v>W</v>
      </c>
      <c r="I577" s="5">
        <v>17.79</v>
      </c>
      <c r="J577" s="5">
        <f xml:space="preserve"> 0.005727*(I577*10)^2.2953</f>
        <v>837.05893540405464</v>
      </c>
      <c r="K577" s="5"/>
      <c r="L577" s="5">
        <v>8</v>
      </c>
      <c r="M577" s="2" t="s">
        <v>191</v>
      </c>
      <c r="N577" s="5">
        <v>35.200000000000003</v>
      </c>
      <c r="O577" s="5">
        <v>21.2</v>
      </c>
      <c r="P577" s="5">
        <v>9.06</v>
      </c>
      <c r="Q577" s="2" t="s">
        <v>18</v>
      </c>
      <c r="R577" s="5">
        <v>72.400000000000006</v>
      </c>
      <c r="S577" s="5">
        <f>(R577/J577)*100</f>
        <v>8.6493312403447415</v>
      </c>
      <c r="V577" s="5"/>
      <c r="W577" s="6" t="s">
        <v>3320</v>
      </c>
    </row>
    <row r="578" spans="1:23" x14ac:dyDescent="0.15">
      <c r="A578" s="2" t="s">
        <v>97</v>
      </c>
      <c r="B578" s="2" t="s">
        <v>3932</v>
      </c>
      <c r="C578" s="2" t="s">
        <v>972</v>
      </c>
      <c r="D578" s="2" t="s">
        <v>700</v>
      </c>
      <c r="E578" s="1" t="s">
        <v>973</v>
      </c>
      <c r="F578" s="2" t="s">
        <v>229</v>
      </c>
      <c r="G578" s="2">
        <v>30.63</v>
      </c>
      <c r="H578" s="2" t="str">
        <f t="shared" si="20"/>
        <v>W</v>
      </c>
      <c r="I578" s="5">
        <v>20.95</v>
      </c>
      <c r="J578" s="5">
        <f xml:space="preserve"> 0.005727*(I578*10)^2.2953</f>
        <v>1218.2625135189451</v>
      </c>
      <c r="K578" s="5"/>
      <c r="L578" s="5">
        <v>8</v>
      </c>
      <c r="M578" s="2" t="s">
        <v>191</v>
      </c>
      <c r="N578" s="5">
        <v>30</v>
      </c>
      <c r="O578" s="5">
        <v>20</v>
      </c>
      <c r="P578" s="5">
        <v>9.9489999999999998</v>
      </c>
      <c r="Q578" s="2" t="s">
        <v>376</v>
      </c>
      <c r="R578" s="5">
        <v>79.59</v>
      </c>
      <c r="S578" s="5">
        <f>(R578/J578)*100</f>
        <v>6.5330746958719672</v>
      </c>
      <c r="T578" s="9"/>
      <c r="U578" s="9"/>
      <c r="V578" s="5"/>
      <c r="W578" s="6" t="s">
        <v>2355</v>
      </c>
    </row>
    <row r="579" spans="1:23" x14ac:dyDescent="0.15">
      <c r="A579" s="2" t="s">
        <v>97</v>
      </c>
      <c r="B579" s="2" t="s">
        <v>3932</v>
      </c>
      <c r="C579" s="2" t="s">
        <v>972</v>
      </c>
      <c r="D579" s="2" t="s">
        <v>700</v>
      </c>
      <c r="E579" s="1" t="s">
        <v>973</v>
      </c>
      <c r="F579" s="2" t="s">
        <v>128</v>
      </c>
      <c r="G579" s="2">
        <v>35</v>
      </c>
      <c r="H579" s="2" t="str">
        <f t="shared" si="20"/>
        <v>W</v>
      </c>
      <c r="I579" s="5">
        <v>19.809999999999999</v>
      </c>
      <c r="J579" s="5">
        <v>1375</v>
      </c>
      <c r="K579" s="5"/>
      <c r="L579" s="5">
        <v>11</v>
      </c>
      <c r="M579" s="2" t="s">
        <v>191</v>
      </c>
      <c r="N579" s="5">
        <f>(P579+18.431-(0.813*O579))/0.303</f>
        <v>37.297359735973608</v>
      </c>
      <c r="O579" s="5">
        <v>22.3</v>
      </c>
      <c r="P579" s="5">
        <v>11</v>
      </c>
      <c r="Q579" s="2" t="s">
        <v>18</v>
      </c>
      <c r="R579" s="5">
        <f>P579*L579</f>
        <v>121</v>
      </c>
      <c r="S579" s="5">
        <f>(R579/J579)*100</f>
        <v>8.7999999999999989</v>
      </c>
      <c r="V579" s="5"/>
      <c r="W579" s="6" t="s">
        <v>1946</v>
      </c>
    </row>
    <row r="580" spans="1:23" x14ac:dyDescent="0.15">
      <c r="A580" s="2" t="s">
        <v>97</v>
      </c>
      <c r="B580" s="2" t="s">
        <v>3932</v>
      </c>
      <c r="C580" s="2" t="s">
        <v>972</v>
      </c>
      <c r="D580" s="2" t="s">
        <v>700</v>
      </c>
      <c r="E580" s="1" t="s">
        <v>973</v>
      </c>
      <c r="F580" s="2" t="s">
        <v>3319</v>
      </c>
      <c r="G580" s="2">
        <v>33.33</v>
      </c>
      <c r="H580" s="2" t="str">
        <f t="shared" si="20"/>
        <v>W</v>
      </c>
      <c r="I580" s="5">
        <f>(MEDIAN(15.5,17.8))/0.905</f>
        <v>18.397790055248617</v>
      </c>
      <c r="J580" s="5">
        <f xml:space="preserve"> 0.005727*(I580*10)^2.2953</f>
        <v>904.15689677827686</v>
      </c>
      <c r="K580" s="7">
        <v>6</v>
      </c>
      <c r="L580" s="5">
        <v>5.5</v>
      </c>
      <c r="M580" s="2" t="s">
        <v>191</v>
      </c>
      <c r="N580" s="5"/>
      <c r="O580" s="5"/>
      <c r="P580" s="5"/>
      <c r="R580" s="5"/>
      <c r="S580" s="5"/>
      <c r="T580" s="9" t="s">
        <v>2228</v>
      </c>
      <c r="U580" s="40" t="s">
        <v>395</v>
      </c>
      <c r="V580" s="5"/>
      <c r="W580" s="6" t="s">
        <v>2356</v>
      </c>
    </row>
    <row r="581" spans="1:23" x14ac:dyDescent="0.15">
      <c r="A581" s="2" t="s">
        <v>97</v>
      </c>
      <c r="B581" s="2" t="s">
        <v>3932</v>
      </c>
      <c r="C581" s="2" t="s">
        <v>972</v>
      </c>
      <c r="D581" s="2" t="s">
        <v>700</v>
      </c>
      <c r="E581" s="1" t="s">
        <v>973</v>
      </c>
      <c r="F581" s="2" t="s">
        <v>123</v>
      </c>
      <c r="G581" s="2">
        <v>33.56</v>
      </c>
      <c r="H581" s="2" t="str">
        <f t="shared" si="20"/>
        <v>W</v>
      </c>
      <c r="I581" s="5">
        <f>15.6/0.905</f>
        <v>17.237569060773481</v>
      </c>
      <c r="J581" s="5">
        <f xml:space="preserve"> 0.005727*(I581*10)^2.2953</f>
        <v>778.59317035813444</v>
      </c>
      <c r="K581" s="5"/>
      <c r="L581" s="5">
        <v>7.125</v>
      </c>
      <c r="M581" s="2" t="s">
        <v>191</v>
      </c>
      <c r="N581" s="5"/>
      <c r="O581" s="5"/>
      <c r="P581" s="5"/>
      <c r="R581" s="5"/>
      <c r="S581" s="5"/>
      <c r="T581" s="2">
        <v>2</v>
      </c>
      <c r="U581" s="2" t="str">
        <f>IF(T581&lt;=1, "1",IF(AND(T581&gt;1,T581&lt;4), "2-3", "+4"))</f>
        <v>2-3</v>
      </c>
      <c r="V581" s="5"/>
      <c r="W581" s="6" t="s">
        <v>3421</v>
      </c>
    </row>
    <row r="582" spans="1:23" x14ac:dyDescent="0.15">
      <c r="A582" s="2" t="s">
        <v>97</v>
      </c>
      <c r="B582" s="2" t="s">
        <v>3932</v>
      </c>
      <c r="C582" s="2" t="s">
        <v>972</v>
      </c>
      <c r="D582" s="2" t="s">
        <v>700</v>
      </c>
      <c r="E582" s="1" t="s">
        <v>973</v>
      </c>
      <c r="F582" s="2" t="s">
        <v>123</v>
      </c>
      <c r="G582" s="4">
        <v>33.33</v>
      </c>
      <c r="H582" s="2" t="str">
        <f t="shared" si="20"/>
        <v>W</v>
      </c>
      <c r="I582" s="5">
        <f xml:space="preserve"> 15.9/0.905</f>
        <v>17.569060773480661</v>
      </c>
      <c r="J582" s="5">
        <f xml:space="preserve"> 0.005727*(I582*10)^2.2953</f>
        <v>813.38941926874145</v>
      </c>
      <c r="K582" s="33"/>
      <c r="L582" s="33">
        <v>7.2</v>
      </c>
      <c r="M582" s="4" t="s">
        <v>191</v>
      </c>
      <c r="N582" s="5"/>
      <c r="O582" s="5"/>
      <c r="P582" s="5"/>
      <c r="R582" s="5"/>
      <c r="S582" s="5"/>
      <c r="V582" s="5"/>
      <c r="W582" s="10" t="s">
        <v>1983</v>
      </c>
    </row>
    <row r="583" spans="1:23" x14ac:dyDescent="0.15">
      <c r="A583" s="2" t="s">
        <v>97</v>
      </c>
      <c r="B583" s="2" t="s">
        <v>3932</v>
      </c>
      <c r="C583" s="2" t="s">
        <v>972</v>
      </c>
      <c r="D583" s="2" t="s">
        <v>700</v>
      </c>
      <c r="E583" s="1" t="s">
        <v>973</v>
      </c>
      <c r="F583" s="2" t="s">
        <v>125</v>
      </c>
      <c r="G583" s="4"/>
      <c r="H583" s="2" t="str">
        <f t="shared" si="20"/>
        <v>W</v>
      </c>
      <c r="I583" s="5"/>
      <c r="J583" s="5"/>
      <c r="K583" s="33"/>
      <c r="L583" s="33">
        <v>10.5</v>
      </c>
      <c r="M583" s="4" t="s">
        <v>191</v>
      </c>
      <c r="N583" s="5">
        <f>(P583+18.431-(0.813*O583))/0.303</f>
        <v>33.714191419141926</v>
      </c>
      <c r="O583" s="5">
        <v>21.2</v>
      </c>
      <c r="P583" s="5">
        <v>9.02</v>
      </c>
      <c r="Q583" s="2" t="s">
        <v>18</v>
      </c>
      <c r="R583" s="5">
        <f>P583*L583</f>
        <v>94.71</v>
      </c>
      <c r="S583" s="5"/>
      <c r="V583" s="5"/>
      <c r="W583" s="10" t="s">
        <v>1897</v>
      </c>
    </row>
    <row r="584" spans="1:23" x14ac:dyDescent="0.15">
      <c r="A584" s="2" t="s">
        <v>97</v>
      </c>
      <c r="B584" s="2" t="s">
        <v>3932</v>
      </c>
      <c r="C584" s="2" t="s">
        <v>972</v>
      </c>
      <c r="D584" s="2" t="s">
        <v>700</v>
      </c>
      <c r="E584" s="1" t="s">
        <v>973</v>
      </c>
      <c r="F584" s="2" t="s">
        <v>69</v>
      </c>
      <c r="G584" s="2">
        <v>29.65</v>
      </c>
      <c r="H584" s="2" t="str">
        <f t="shared" si="20"/>
        <v>W</v>
      </c>
      <c r="I584" s="5">
        <v>19.48</v>
      </c>
      <c r="J584" s="5">
        <v>1040</v>
      </c>
      <c r="K584" s="5">
        <v>7</v>
      </c>
      <c r="L584" s="5">
        <v>9.5</v>
      </c>
      <c r="M584" s="2" t="s">
        <v>191</v>
      </c>
      <c r="N584" s="5">
        <v>36.5</v>
      </c>
      <c r="O584" s="5">
        <v>22.4</v>
      </c>
      <c r="P584" s="5">
        <v>10.7</v>
      </c>
      <c r="Q584" s="2" t="s">
        <v>18</v>
      </c>
      <c r="R584" s="5">
        <v>101.7</v>
      </c>
      <c r="S584" s="5">
        <v>9.7799999999999994</v>
      </c>
      <c r="T584" s="2">
        <v>3</v>
      </c>
      <c r="U584" s="2" t="str">
        <f>IF(T584&lt;=1, "1",IF(AND(T584&gt;1,T584&lt;4), "2-3", "+4"))</f>
        <v>2-3</v>
      </c>
      <c r="V584" s="5">
        <v>29.34</v>
      </c>
      <c r="W584" s="6" t="s">
        <v>1795</v>
      </c>
    </row>
    <row r="585" spans="1:23" x14ac:dyDescent="0.15">
      <c r="A585" s="2" t="s">
        <v>97</v>
      </c>
      <c r="B585" s="2" t="s">
        <v>3932</v>
      </c>
      <c r="C585" s="2" t="s">
        <v>972</v>
      </c>
      <c r="D585" s="2" t="s">
        <v>700</v>
      </c>
      <c r="E585" s="1" t="s">
        <v>973</v>
      </c>
      <c r="F585" s="2" t="s">
        <v>127</v>
      </c>
      <c r="G585" s="2">
        <v>34.159999999999997</v>
      </c>
      <c r="H585" s="2" t="str">
        <f t="shared" si="20"/>
        <v>W</v>
      </c>
      <c r="I585" s="5">
        <f xml:space="preserve"> 17.48/0.905</f>
        <v>19.314917127071823</v>
      </c>
      <c r="J585" s="5">
        <f xml:space="preserve"> 0.005727*(I585*10)^2.2953</f>
        <v>1010.9671398135247</v>
      </c>
      <c r="K585" s="5"/>
      <c r="L585" s="5">
        <v>10.9</v>
      </c>
      <c r="M585" s="2" t="s">
        <v>191</v>
      </c>
      <c r="N585" s="5"/>
      <c r="O585" s="5">
        <v>22.2</v>
      </c>
      <c r="P585" s="5"/>
      <c r="R585" s="5"/>
      <c r="S585" s="5"/>
      <c r="T585" s="2" t="s">
        <v>122</v>
      </c>
      <c r="V585" s="5"/>
      <c r="W585" s="6" t="s">
        <v>1944</v>
      </c>
    </row>
    <row r="586" spans="1:23" x14ac:dyDescent="0.15">
      <c r="A586" s="2" t="s">
        <v>97</v>
      </c>
      <c r="B586" s="2" t="s">
        <v>3932</v>
      </c>
      <c r="C586" s="2" t="s">
        <v>972</v>
      </c>
      <c r="D586" s="2" t="s">
        <v>700</v>
      </c>
      <c r="E586" s="1" t="s">
        <v>973</v>
      </c>
      <c r="F586" s="2" t="s">
        <v>3919</v>
      </c>
      <c r="G586" s="2">
        <v>29.83</v>
      </c>
      <c r="H586" s="2" t="str">
        <f t="shared" si="20"/>
        <v>W</v>
      </c>
      <c r="I586" s="5">
        <v>17.2</v>
      </c>
      <c r="J586" s="5"/>
      <c r="K586" s="5"/>
      <c r="L586" s="5">
        <v>5</v>
      </c>
      <c r="M586" s="2" t="s">
        <v>191</v>
      </c>
      <c r="N586" s="5"/>
      <c r="O586" s="5"/>
      <c r="P586" s="5"/>
      <c r="R586" s="5"/>
      <c r="S586" s="5"/>
      <c r="V586" s="5"/>
      <c r="W586" s="6" t="s">
        <v>2778</v>
      </c>
    </row>
    <row r="587" spans="1:23" x14ac:dyDescent="0.15">
      <c r="A587" s="2" t="s">
        <v>97</v>
      </c>
      <c r="B587" s="2" t="s">
        <v>3933</v>
      </c>
      <c r="C587" s="2" t="s">
        <v>974</v>
      </c>
      <c r="D587" s="2" t="s">
        <v>472</v>
      </c>
      <c r="E587" s="1"/>
      <c r="F587" s="2" t="s">
        <v>134</v>
      </c>
      <c r="G587" s="2">
        <v>41.65</v>
      </c>
      <c r="H587" s="2" t="str">
        <f t="shared" si="20"/>
        <v>W</v>
      </c>
      <c r="I587" s="5">
        <v>20.53</v>
      </c>
      <c r="J587" s="5">
        <f>0.2743*I587^2.758</f>
        <v>1142.3377529587069</v>
      </c>
      <c r="K587" s="5"/>
      <c r="L587" s="5">
        <v>13.2</v>
      </c>
      <c r="M587" s="2" t="s">
        <v>191</v>
      </c>
      <c r="N587" s="5"/>
      <c r="O587" s="5"/>
      <c r="P587" s="5"/>
      <c r="R587" s="5"/>
      <c r="S587" s="5"/>
      <c r="V587" s="5"/>
      <c r="W587" s="6" t="s">
        <v>1952</v>
      </c>
    </row>
    <row r="588" spans="1:23" x14ac:dyDescent="0.15">
      <c r="A588" s="2" t="s">
        <v>97</v>
      </c>
      <c r="B588" s="2" t="s">
        <v>3933</v>
      </c>
      <c r="C588" s="2" t="s">
        <v>974</v>
      </c>
      <c r="D588" s="2" t="s">
        <v>472</v>
      </c>
      <c r="E588" s="1"/>
      <c r="F588" s="2" t="s">
        <v>2266</v>
      </c>
      <c r="G588" s="2">
        <v>44.73</v>
      </c>
      <c r="H588" s="2" t="str">
        <f t="shared" si="20"/>
        <v>W</v>
      </c>
      <c r="I588" s="5">
        <v>26.04</v>
      </c>
      <c r="J588" s="5">
        <v>2201</v>
      </c>
      <c r="K588" s="5"/>
      <c r="L588" s="5">
        <v>17</v>
      </c>
      <c r="M588" s="2" t="s">
        <v>191</v>
      </c>
      <c r="N588" s="5">
        <v>37</v>
      </c>
      <c r="O588" s="5">
        <v>24.5</v>
      </c>
      <c r="P588" s="5">
        <v>13.2</v>
      </c>
      <c r="Q588" s="2" t="s">
        <v>376</v>
      </c>
      <c r="R588" s="5">
        <v>224.4</v>
      </c>
      <c r="S588" s="5">
        <v>10.199999999999999</v>
      </c>
      <c r="V588" s="5"/>
      <c r="W588" s="6" t="s">
        <v>2362</v>
      </c>
    </row>
    <row r="589" spans="1:23" x14ac:dyDescent="0.15">
      <c r="A589" s="2" t="s">
        <v>97</v>
      </c>
      <c r="B589" s="2" t="s">
        <v>3933</v>
      </c>
      <c r="C589" s="2" t="s">
        <v>974</v>
      </c>
      <c r="D589" s="2" t="s">
        <v>472</v>
      </c>
      <c r="E589" s="1"/>
      <c r="F589" s="2" t="s">
        <v>158</v>
      </c>
      <c r="G589" s="2">
        <v>44.2</v>
      </c>
      <c r="H589" s="2" t="str">
        <f t="shared" si="20"/>
        <v>W</v>
      </c>
      <c r="I589" s="5">
        <v>22.9</v>
      </c>
      <c r="J589" s="5">
        <v>1544</v>
      </c>
      <c r="K589" s="5"/>
      <c r="L589" s="5">
        <v>19</v>
      </c>
      <c r="M589" s="2" t="s">
        <v>191</v>
      </c>
      <c r="N589" s="5">
        <v>38.6</v>
      </c>
      <c r="O589" s="5">
        <v>19.2</v>
      </c>
      <c r="P589" s="5">
        <v>7.8</v>
      </c>
      <c r="Q589" s="2" t="s">
        <v>376</v>
      </c>
      <c r="R589" s="5">
        <v>148.25</v>
      </c>
      <c r="S589" s="5">
        <v>9.6</v>
      </c>
      <c r="V589" s="5"/>
      <c r="W589" s="6" t="s">
        <v>2363</v>
      </c>
    </row>
    <row r="590" spans="1:23" x14ac:dyDescent="0.15">
      <c r="A590" s="2" t="s">
        <v>97</v>
      </c>
      <c r="B590" s="2" t="s">
        <v>3933</v>
      </c>
      <c r="C590" s="2" t="s">
        <v>974</v>
      </c>
      <c r="D590" s="2" t="s">
        <v>472</v>
      </c>
      <c r="E590" s="1"/>
      <c r="F590" s="2" t="s">
        <v>2265</v>
      </c>
      <c r="G590" s="2">
        <v>42.87</v>
      </c>
      <c r="H590" s="2" t="str">
        <f t="shared" si="20"/>
        <v>W</v>
      </c>
      <c r="I590" s="5"/>
      <c r="J590" s="5"/>
      <c r="K590" s="5"/>
      <c r="L590" s="5">
        <v>11</v>
      </c>
      <c r="M590" s="2" t="s">
        <v>191</v>
      </c>
      <c r="N590" s="5"/>
      <c r="O590" s="5"/>
      <c r="P590" s="5"/>
      <c r="R590" s="5"/>
      <c r="S590" s="5"/>
      <c r="V590" s="5"/>
      <c r="W590" s="6" t="s">
        <v>2780</v>
      </c>
    </row>
    <row r="591" spans="1:23" x14ac:dyDescent="0.15">
      <c r="A591" s="2" t="s">
        <v>97</v>
      </c>
      <c r="B591" s="2" t="s">
        <v>3933</v>
      </c>
      <c r="C591" s="2" t="s">
        <v>974</v>
      </c>
      <c r="D591" s="2" t="s">
        <v>472</v>
      </c>
      <c r="E591" s="1"/>
      <c r="F591" s="2" t="s">
        <v>77</v>
      </c>
      <c r="G591" s="2">
        <v>42.46</v>
      </c>
      <c r="H591" s="2" t="str">
        <f t="shared" si="20"/>
        <v>W</v>
      </c>
      <c r="I591" s="5">
        <v>19.48</v>
      </c>
      <c r="J591" s="5">
        <v>988.4</v>
      </c>
      <c r="K591" s="5">
        <v>17</v>
      </c>
      <c r="L591" s="5">
        <v>10.199999999999999</v>
      </c>
      <c r="M591" s="2" t="s">
        <v>191</v>
      </c>
      <c r="N591" s="5">
        <v>37.5</v>
      </c>
      <c r="O591" s="5">
        <v>23.3</v>
      </c>
      <c r="P591" s="5">
        <v>12.2</v>
      </c>
      <c r="Q591" s="2" t="s">
        <v>18</v>
      </c>
      <c r="R591" s="5">
        <f>P591*L591</f>
        <v>124.43999999999998</v>
      </c>
      <c r="S591" s="5">
        <f>(R591/J591)*100</f>
        <v>12.590044516390126</v>
      </c>
      <c r="T591" s="2">
        <v>0.48</v>
      </c>
      <c r="U591" s="2" t="str">
        <f>IF(T591&lt;=1, "1",IF(AND(T591&gt;1,T591&lt;4), "2-3", "+4"))</f>
        <v>1</v>
      </c>
      <c r="V591" s="5">
        <f>T591*S591</f>
        <v>6.0432213678672602</v>
      </c>
      <c r="W591" s="6" t="s">
        <v>3463</v>
      </c>
    </row>
    <row r="592" spans="1:23" x14ac:dyDescent="0.15">
      <c r="A592" s="2" t="s">
        <v>97</v>
      </c>
      <c r="B592" s="2" t="s">
        <v>3933</v>
      </c>
      <c r="C592" s="2" t="s">
        <v>974</v>
      </c>
      <c r="D592" s="2" t="s">
        <v>472</v>
      </c>
      <c r="E592" s="1"/>
      <c r="F592" s="2" t="s">
        <v>77</v>
      </c>
      <c r="G592" s="2">
        <v>42.45</v>
      </c>
      <c r="H592" s="2" t="str">
        <f t="shared" si="20"/>
        <v>W</v>
      </c>
      <c r="I592" s="5"/>
      <c r="J592" s="5"/>
      <c r="K592" s="5"/>
      <c r="L592" s="5">
        <f>(9.5+10)/2</f>
        <v>9.75</v>
      </c>
      <c r="M592" s="2" t="s">
        <v>191</v>
      </c>
      <c r="N592" s="5"/>
      <c r="O592" s="5">
        <f>AVERAGE(23.5,24.6)</f>
        <v>24.05</v>
      </c>
      <c r="P592" s="5"/>
      <c r="R592" s="5"/>
      <c r="S592" s="5"/>
      <c r="V592" s="5"/>
      <c r="W592" s="6" t="s">
        <v>3316</v>
      </c>
    </row>
    <row r="593" spans="1:28" x14ac:dyDescent="0.15">
      <c r="A593" s="2" t="s">
        <v>97</v>
      </c>
      <c r="B593" s="2" t="s">
        <v>3933</v>
      </c>
      <c r="C593" s="2" t="s">
        <v>974</v>
      </c>
      <c r="D593" s="2" t="s">
        <v>472</v>
      </c>
      <c r="E593" s="1"/>
      <c r="F593" s="2" t="s">
        <v>181</v>
      </c>
      <c r="G593" s="2">
        <v>42.48</v>
      </c>
      <c r="H593" s="2" t="str">
        <f t="shared" ref="H593:H625" si="21">IF(G593="captive","C","W")</f>
        <v>W</v>
      </c>
      <c r="I593" s="5">
        <v>22.17</v>
      </c>
      <c r="J593" s="5">
        <v>1412</v>
      </c>
      <c r="K593" s="5"/>
      <c r="L593" s="5">
        <v>12.9</v>
      </c>
      <c r="M593" s="2" t="s">
        <v>191</v>
      </c>
      <c r="N593" s="5"/>
      <c r="O593" s="5"/>
      <c r="P593" s="5"/>
      <c r="R593" s="5"/>
      <c r="S593" s="5"/>
      <c r="V593" s="5"/>
      <c r="W593" s="6" t="s">
        <v>3312</v>
      </c>
    </row>
    <row r="594" spans="1:28" x14ac:dyDescent="0.15">
      <c r="A594" s="2" t="s">
        <v>97</v>
      </c>
      <c r="B594" s="2" t="s">
        <v>3933</v>
      </c>
      <c r="C594" s="2" t="s">
        <v>974</v>
      </c>
      <c r="D594" s="2" t="s">
        <v>472</v>
      </c>
      <c r="E594" s="1"/>
      <c r="F594" s="2" t="s">
        <v>77</v>
      </c>
      <c r="G594" s="2">
        <v>42.4</v>
      </c>
      <c r="H594" s="2" t="str">
        <f t="shared" si="21"/>
        <v>W</v>
      </c>
      <c r="I594" s="5">
        <v>20.43</v>
      </c>
      <c r="J594" s="5">
        <v>1128</v>
      </c>
      <c r="K594" s="5"/>
      <c r="L594" s="5">
        <v>8.3000000000000007</v>
      </c>
      <c r="M594" s="2" t="s">
        <v>191</v>
      </c>
      <c r="N594" s="5"/>
      <c r="O594" s="5"/>
      <c r="P594" s="5"/>
      <c r="R594" s="5"/>
      <c r="S594" s="5"/>
      <c r="V594" s="5"/>
      <c r="W594" s="6" t="s">
        <v>2360</v>
      </c>
    </row>
    <row r="595" spans="1:28" x14ac:dyDescent="0.15">
      <c r="A595" s="2" t="s">
        <v>97</v>
      </c>
      <c r="B595" s="2" t="s">
        <v>3933</v>
      </c>
      <c r="C595" s="2" t="s">
        <v>974</v>
      </c>
      <c r="D595" s="2" t="s">
        <v>472</v>
      </c>
      <c r="E595" s="1"/>
      <c r="F595" s="2" t="s">
        <v>132</v>
      </c>
      <c r="G595" s="2">
        <v>42.5</v>
      </c>
      <c r="H595" s="2" t="str">
        <f t="shared" si="21"/>
        <v>W</v>
      </c>
      <c r="I595" s="5">
        <v>13.9</v>
      </c>
      <c r="J595" s="5">
        <f>0.2743*I595^2.758</f>
        <v>389.63739103989752</v>
      </c>
      <c r="K595" s="5"/>
      <c r="L595" s="5">
        <v>17</v>
      </c>
      <c r="M595" s="2" t="s">
        <v>191</v>
      </c>
      <c r="N595" s="5"/>
      <c r="O595" s="5">
        <v>21.9</v>
      </c>
      <c r="P595" s="5"/>
      <c r="R595" s="5"/>
      <c r="S595" s="5"/>
      <c r="V595" s="5"/>
      <c r="W595" s="6" t="s">
        <v>1951</v>
      </c>
    </row>
    <row r="596" spans="1:28" x14ac:dyDescent="0.15">
      <c r="A596" s="2" t="s">
        <v>97</v>
      </c>
      <c r="B596" s="2" t="s">
        <v>3933</v>
      </c>
      <c r="C596" s="2" t="s">
        <v>974</v>
      </c>
      <c r="D596" s="2" t="s">
        <v>472</v>
      </c>
      <c r="E596" s="1"/>
      <c r="F596" s="2" t="s">
        <v>3455</v>
      </c>
      <c r="G596" s="2">
        <v>43.31</v>
      </c>
      <c r="H596" s="2" t="str">
        <f t="shared" si="21"/>
        <v>W</v>
      </c>
      <c r="I596" s="5">
        <v>20.65</v>
      </c>
      <c r="J596" s="5">
        <f xml:space="preserve"> 0.2743*I596^2.758</f>
        <v>1160.8479052497651</v>
      </c>
      <c r="K596" s="5"/>
      <c r="L596" s="5">
        <v>12.5</v>
      </c>
      <c r="M596" s="2" t="s">
        <v>191</v>
      </c>
      <c r="N596" s="5">
        <v>39.200000000000003</v>
      </c>
      <c r="O596" s="5">
        <v>26</v>
      </c>
      <c r="P596" s="5">
        <f xml:space="preserve"> (0.277*N596) + (1.102*O596) - 24.048</f>
        <v>15.462400000000006</v>
      </c>
      <c r="Q596" s="2" t="s">
        <v>376</v>
      </c>
      <c r="R596" s="5">
        <f>P596*L596</f>
        <v>193.28000000000009</v>
      </c>
      <c r="S596" s="5">
        <f>(R596/J596)*100</f>
        <v>16.649898675435388</v>
      </c>
      <c r="V596" s="5"/>
      <c r="W596" s="6" t="s">
        <v>2227</v>
      </c>
    </row>
    <row r="597" spans="1:28" ht="12.75" customHeight="1" x14ac:dyDescent="0.15">
      <c r="A597" s="2" t="s">
        <v>97</v>
      </c>
      <c r="B597" s="2" t="s">
        <v>3933</v>
      </c>
      <c r="C597" s="2" t="s">
        <v>974</v>
      </c>
      <c r="D597" s="2" t="s">
        <v>472</v>
      </c>
      <c r="E597" s="1"/>
      <c r="F597" s="2" t="s">
        <v>131</v>
      </c>
      <c r="G597" s="2">
        <v>42.8</v>
      </c>
      <c r="H597" s="2" t="str">
        <f t="shared" si="21"/>
        <v>W</v>
      </c>
      <c r="I597" s="5"/>
      <c r="J597" s="5"/>
      <c r="K597" s="5"/>
      <c r="L597" s="5"/>
      <c r="M597" s="2" t="s">
        <v>191</v>
      </c>
      <c r="N597" s="5"/>
      <c r="O597" s="5"/>
      <c r="P597" s="5">
        <v>13</v>
      </c>
      <c r="Q597" s="2" t="s">
        <v>18</v>
      </c>
      <c r="R597" s="5"/>
      <c r="S597" s="5"/>
      <c r="V597" s="5"/>
      <c r="W597" s="6" t="s">
        <v>1949</v>
      </c>
    </row>
    <row r="598" spans="1:28" ht="12.75" customHeight="1" x14ac:dyDescent="0.15">
      <c r="A598" s="2" t="s">
        <v>97</v>
      </c>
      <c r="B598" s="2" t="s">
        <v>3933</v>
      </c>
      <c r="C598" s="2" t="s">
        <v>974</v>
      </c>
      <c r="D598" s="2" t="s">
        <v>472</v>
      </c>
      <c r="E598" s="1"/>
      <c r="F598" s="2" t="s">
        <v>509</v>
      </c>
      <c r="G598" s="2">
        <v>43.4</v>
      </c>
      <c r="H598" s="2" t="str">
        <f t="shared" si="21"/>
        <v>W</v>
      </c>
      <c r="I598" s="5">
        <v>20.62</v>
      </c>
      <c r="J598" s="5">
        <v>1156</v>
      </c>
      <c r="K598" s="5"/>
      <c r="L598" s="5">
        <v>8.5</v>
      </c>
      <c r="M598" s="2" t="s">
        <v>191</v>
      </c>
      <c r="N598" s="5"/>
      <c r="O598" s="5"/>
      <c r="P598" s="5"/>
      <c r="R598" s="5"/>
      <c r="S598" s="5"/>
      <c r="V598" s="5"/>
      <c r="W598" s="6" t="s">
        <v>2351</v>
      </c>
    </row>
    <row r="599" spans="1:28" ht="12.75" customHeight="1" x14ac:dyDescent="0.15">
      <c r="A599" s="2" t="s">
        <v>97</v>
      </c>
      <c r="B599" s="2" t="s">
        <v>3933</v>
      </c>
      <c r="C599" s="2" t="s">
        <v>974</v>
      </c>
      <c r="D599" s="2" t="s">
        <v>472</v>
      </c>
      <c r="E599" s="1"/>
      <c r="F599" s="2" t="s">
        <v>2230</v>
      </c>
      <c r="G599" s="2">
        <v>40.409999999999997</v>
      </c>
      <c r="H599" s="2" t="str">
        <f t="shared" si="21"/>
        <v>W</v>
      </c>
      <c r="I599" s="5">
        <v>18.2</v>
      </c>
      <c r="J599" s="5">
        <v>819</v>
      </c>
      <c r="K599" s="5"/>
      <c r="L599" s="5">
        <v>10</v>
      </c>
      <c r="M599" s="2" t="s">
        <v>191</v>
      </c>
      <c r="N599" s="5"/>
      <c r="O599" s="5"/>
      <c r="P599" s="5"/>
      <c r="R599" s="5"/>
      <c r="S599" s="5"/>
      <c r="V599" s="5"/>
      <c r="W599" s="6" t="s">
        <v>2779</v>
      </c>
    </row>
    <row r="600" spans="1:28" ht="12.75" customHeight="1" x14ac:dyDescent="0.15">
      <c r="A600" s="2" t="s">
        <v>97</v>
      </c>
      <c r="B600" s="2" t="s">
        <v>3933</v>
      </c>
      <c r="C600" s="2" t="s">
        <v>974</v>
      </c>
      <c r="D600" s="2" t="s">
        <v>472</v>
      </c>
      <c r="E600" s="1"/>
      <c r="F600" s="2" t="s">
        <v>2265</v>
      </c>
      <c r="G600" s="2">
        <v>42.59</v>
      </c>
      <c r="H600" s="2" t="str">
        <f t="shared" si="21"/>
        <v>W</v>
      </c>
      <c r="I600" s="5">
        <v>17.649999999999999</v>
      </c>
      <c r="J600" s="5">
        <v>747.8</v>
      </c>
      <c r="K600" s="5"/>
      <c r="L600" s="5">
        <v>8</v>
      </c>
      <c r="M600" s="2" t="s">
        <v>191</v>
      </c>
      <c r="N600" s="5">
        <v>38.200000000000003</v>
      </c>
      <c r="O600" s="5">
        <v>23.4</v>
      </c>
      <c r="P600" s="5">
        <v>13.4</v>
      </c>
      <c r="Q600" s="2" t="s">
        <v>18</v>
      </c>
      <c r="R600" s="5">
        <v>97.8</v>
      </c>
      <c r="S600" s="5">
        <v>13.08</v>
      </c>
      <c r="V600" s="5"/>
      <c r="W600" s="6" t="s">
        <v>1796</v>
      </c>
    </row>
    <row r="601" spans="1:28" ht="12.75" customHeight="1" x14ac:dyDescent="0.15">
      <c r="A601" s="2" t="s">
        <v>97</v>
      </c>
      <c r="B601" s="2" t="s">
        <v>3933</v>
      </c>
      <c r="C601" s="2" t="s">
        <v>974</v>
      </c>
      <c r="D601" s="2" t="s">
        <v>472</v>
      </c>
      <c r="E601" s="1"/>
      <c r="F601" s="2" t="s">
        <v>2266</v>
      </c>
      <c r="G601" s="2">
        <v>45.25</v>
      </c>
      <c r="H601" s="2" t="str">
        <f t="shared" si="21"/>
        <v>W</v>
      </c>
      <c r="I601" s="5"/>
      <c r="J601" s="5"/>
      <c r="K601" s="5"/>
      <c r="L601" s="5">
        <v>8</v>
      </c>
      <c r="M601" s="2" t="s">
        <v>191</v>
      </c>
      <c r="N601" s="5"/>
      <c r="O601" s="5"/>
      <c r="P601" s="5"/>
      <c r="R601" s="5"/>
      <c r="S601" s="5"/>
      <c r="V601" s="5"/>
      <c r="W601" s="6" t="s">
        <v>2361</v>
      </c>
    </row>
    <row r="602" spans="1:28" ht="12.75" customHeight="1" x14ac:dyDescent="0.15">
      <c r="A602" s="2" t="s">
        <v>97</v>
      </c>
      <c r="B602" s="2" t="s">
        <v>3933</v>
      </c>
      <c r="C602" s="2" t="s">
        <v>974</v>
      </c>
      <c r="D602" s="2" t="s">
        <v>472</v>
      </c>
      <c r="E602" s="1"/>
      <c r="F602" s="2" t="s">
        <v>106</v>
      </c>
      <c r="G602" s="2">
        <v>42.54</v>
      </c>
      <c r="H602" s="2" t="str">
        <f t="shared" si="21"/>
        <v>W</v>
      </c>
      <c r="I602" s="5"/>
      <c r="J602" s="5"/>
      <c r="K602" s="5"/>
      <c r="L602" s="5">
        <v>11.5</v>
      </c>
      <c r="M602" s="2" t="s">
        <v>191</v>
      </c>
      <c r="N602" s="5">
        <v>38.61</v>
      </c>
      <c r="O602" s="5">
        <v>24.58</v>
      </c>
      <c r="P602" s="5">
        <v>13.6</v>
      </c>
      <c r="Q602" s="2" t="s">
        <v>18</v>
      </c>
      <c r="R602" s="5">
        <v>156.36000000000001</v>
      </c>
      <c r="S602" s="5"/>
      <c r="V602" s="5"/>
      <c r="W602" s="6" t="s">
        <v>1950</v>
      </c>
    </row>
    <row r="603" spans="1:28" ht="12.75" customHeight="1" x14ac:dyDescent="0.15">
      <c r="A603" s="1" t="s">
        <v>97</v>
      </c>
      <c r="B603" s="2" t="s">
        <v>3933</v>
      </c>
      <c r="C603" s="1" t="s">
        <v>974</v>
      </c>
      <c r="D603" s="1" t="s">
        <v>472</v>
      </c>
      <c r="E603" s="1"/>
      <c r="F603" s="1" t="s">
        <v>5140</v>
      </c>
      <c r="G603" s="1">
        <v>42.67</v>
      </c>
      <c r="H603" s="2" t="str">
        <f t="shared" si="21"/>
        <v>W</v>
      </c>
      <c r="I603" s="8">
        <v>16.978000000000002</v>
      </c>
      <c r="J603" s="8">
        <v>801.6</v>
      </c>
      <c r="K603" s="8">
        <v>14</v>
      </c>
      <c r="L603" s="8">
        <v>7.6</v>
      </c>
      <c r="M603" s="2" t="s">
        <v>191</v>
      </c>
      <c r="N603" s="8">
        <v>35.590000000000003</v>
      </c>
      <c r="O603" s="8">
        <v>22.39</v>
      </c>
      <c r="P603" s="8">
        <v>10.52</v>
      </c>
      <c r="Q603" s="1" t="s">
        <v>18</v>
      </c>
      <c r="R603" s="8">
        <v>79.7</v>
      </c>
      <c r="S603" s="8">
        <v>9.94</v>
      </c>
      <c r="T603" s="1">
        <v>1</v>
      </c>
      <c r="U603" s="2" t="str">
        <f>IF(T603&lt;=1, "1",IF(AND(T603&gt;1,T603&lt;4), "2-3", "+4"))</f>
        <v>1</v>
      </c>
      <c r="V603" s="8">
        <v>9.94</v>
      </c>
      <c r="W603" s="6" t="s">
        <v>3913</v>
      </c>
      <c r="X603" s="1"/>
      <c r="Y603" s="1"/>
      <c r="Z603" s="1"/>
      <c r="AA603" s="1"/>
      <c r="AB603" s="1"/>
    </row>
    <row r="604" spans="1:28" x14ac:dyDescent="0.15">
      <c r="A604" s="1" t="s">
        <v>97</v>
      </c>
      <c r="B604" s="2" t="s">
        <v>3933</v>
      </c>
      <c r="C604" s="1" t="s">
        <v>974</v>
      </c>
      <c r="D604" s="1" t="s">
        <v>472</v>
      </c>
      <c r="E604" s="1"/>
      <c r="F604" s="1" t="s">
        <v>3912</v>
      </c>
      <c r="G604" s="1">
        <v>44.42</v>
      </c>
      <c r="H604" s="2" t="str">
        <f t="shared" si="21"/>
        <v>W</v>
      </c>
      <c r="I604" s="8">
        <v>20.399000000000001</v>
      </c>
      <c r="J604" s="8">
        <v>1235.4000000000001</v>
      </c>
      <c r="K604" s="8">
        <v>14</v>
      </c>
      <c r="L604" s="8">
        <v>12.6</v>
      </c>
      <c r="M604" s="2" t="s">
        <v>191</v>
      </c>
      <c r="N604" s="8">
        <v>36.18</v>
      </c>
      <c r="O604" s="8">
        <v>23.79</v>
      </c>
      <c r="P604" s="8">
        <v>11.87</v>
      </c>
      <c r="Q604" s="1" t="s">
        <v>18</v>
      </c>
      <c r="R604" s="8">
        <v>147.5</v>
      </c>
      <c r="S604" s="8">
        <v>11.94</v>
      </c>
      <c r="T604" s="1">
        <v>1</v>
      </c>
      <c r="U604" s="2" t="str">
        <f>IF(T604&lt;=1, "1",IF(AND(T604&gt;1,T604&lt;4), "2-3", "+4"))</f>
        <v>1</v>
      </c>
      <c r="V604" s="8">
        <v>11.94</v>
      </c>
      <c r="W604" s="6" t="s">
        <v>3913</v>
      </c>
      <c r="X604" s="1"/>
      <c r="Y604" s="1"/>
      <c r="Z604" s="1"/>
      <c r="AA604" s="1"/>
      <c r="AB604" s="1"/>
    </row>
    <row r="605" spans="1:28" x14ac:dyDescent="0.15">
      <c r="A605" s="2" t="s">
        <v>97</v>
      </c>
      <c r="B605" s="2" t="s">
        <v>3933</v>
      </c>
      <c r="C605" s="2" t="s">
        <v>974</v>
      </c>
      <c r="D605" s="2" t="s">
        <v>472</v>
      </c>
      <c r="E605" s="1"/>
      <c r="F605" s="2" t="s">
        <v>907</v>
      </c>
      <c r="G605" s="2">
        <v>44.24</v>
      </c>
      <c r="H605" s="2" t="str">
        <f t="shared" si="21"/>
        <v>W</v>
      </c>
      <c r="I605" s="5">
        <v>23.92</v>
      </c>
      <c r="J605" s="5">
        <v>1741</v>
      </c>
      <c r="K605" s="5"/>
      <c r="L605" s="5">
        <v>20</v>
      </c>
      <c r="M605" s="2" t="s">
        <v>191</v>
      </c>
      <c r="N605" s="5"/>
      <c r="O605" s="5"/>
      <c r="P605" s="5"/>
      <c r="R605" s="5"/>
      <c r="S605" s="5"/>
      <c r="V605" s="5"/>
      <c r="W605" s="6" t="s">
        <v>2359</v>
      </c>
    </row>
    <row r="606" spans="1:28" x14ac:dyDescent="0.15">
      <c r="A606" s="2" t="s">
        <v>97</v>
      </c>
      <c r="B606" s="2" t="s">
        <v>3933</v>
      </c>
      <c r="C606" s="2" t="s">
        <v>974</v>
      </c>
      <c r="D606" s="2" t="s">
        <v>472</v>
      </c>
      <c r="E606" s="1"/>
      <c r="F606" s="2" t="s">
        <v>2266</v>
      </c>
      <c r="G606" s="2">
        <v>45.14</v>
      </c>
      <c r="H606" s="2" t="str">
        <f t="shared" si="21"/>
        <v>W</v>
      </c>
      <c r="I606" s="5"/>
      <c r="J606" s="5"/>
      <c r="K606" s="5"/>
      <c r="L606" s="5">
        <v>11</v>
      </c>
      <c r="M606" s="2" t="s">
        <v>191</v>
      </c>
      <c r="N606" s="5"/>
      <c r="O606" s="5"/>
      <c r="P606" s="5"/>
      <c r="R606" s="5"/>
      <c r="S606" s="5"/>
      <c r="T606" s="2" t="s">
        <v>410</v>
      </c>
      <c r="U606" s="40" t="s">
        <v>395</v>
      </c>
      <c r="V606" s="5"/>
      <c r="W606" s="6" t="s">
        <v>3422</v>
      </c>
    </row>
    <row r="607" spans="1:28" x14ac:dyDescent="0.15">
      <c r="A607" s="2" t="s">
        <v>97</v>
      </c>
      <c r="B607" s="2" t="s">
        <v>3933</v>
      </c>
      <c r="C607" s="2" t="s">
        <v>974</v>
      </c>
      <c r="D607" s="2" t="s">
        <v>472</v>
      </c>
      <c r="E607" s="1"/>
      <c r="F607" s="2" t="s">
        <v>158</v>
      </c>
      <c r="G607" s="2">
        <v>44.02</v>
      </c>
      <c r="H607" s="2" t="str">
        <f t="shared" si="21"/>
        <v>W</v>
      </c>
      <c r="I607" s="5"/>
      <c r="J607" s="5"/>
      <c r="K607" s="5">
        <v>18</v>
      </c>
      <c r="L607" s="5"/>
      <c r="M607" s="2" t="s">
        <v>191</v>
      </c>
      <c r="N607" s="5"/>
      <c r="O607" s="5"/>
      <c r="P607" s="5"/>
      <c r="R607" s="5"/>
      <c r="S607" s="5"/>
      <c r="V607" s="5"/>
      <c r="W607" s="6" t="s">
        <v>3203</v>
      </c>
    </row>
    <row r="608" spans="1:28" x14ac:dyDescent="0.15">
      <c r="A608" s="2" t="s">
        <v>97</v>
      </c>
      <c r="B608" s="2" t="s">
        <v>3933</v>
      </c>
      <c r="C608" s="2" t="s">
        <v>974</v>
      </c>
      <c r="D608" s="2" t="s">
        <v>472</v>
      </c>
      <c r="E608" s="1"/>
      <c r="F608" s="2" t="s">
        <v>129</v>
      </c>
      <c r="G608" s="2">
        <v>42</v>
      </c>
      <c r="H608" s="2" t="str">
        <f t="shared" si="21"/>
        <v>W</v>
      </c>
      <c r="I608" s="5">
        <v>21.48</v>
      </c>
      <c r="J608" s="5">
        <v>1500</v>
      </c>
      <c r="K608" s="5"/>
      <c r="L608" s="5">
        <v>14.94</v>
      </c>
      <c r="M608" s="2" t="s">
        <v>191</v>
      </c>
      <c r="N608" s="5">
        <f>(P608+24.048-(1.102*O608))/0.277</f>
        <v>34.332851985559557</v>
      </c>
      <c r="O608" s="5">
        <v>23.9</v>
      </c>
      <c r="P608" s="5">
        <v>11.8</v>
      </c>
      <c r="Q608" s="2" t="s">
        <v>18</v>
      </c>
      <c r="R608" s="5">
        <v>168.5</v>
      </c>
      <c r="S608" s="5">
        <v>13</v>
      </c>
      <c r="V608" s="5"/>
      <c r="W608" s="6" t="s">
        <v>1935</v>
      </c>
    </row>
    <row r="609" spans="1:23" x14ac:dyDescent="0.15">
      <c r="A609" s="2" t="s">
        <v>97</v>
      </c>
      <c r="B609" s="2" t="s">
        <v>3933</v>
      </c>
      <c r="C609" s="2" t="s">
        <v>974</v>
      </c>
      <c r="D609" s="2" t="s">
        <v>472</v>
      </c>
      <c r="E609" s="1"/>
      <c r="F609" s="2" t="s">
        <v>133</v>
      </c>
      <c r="G609" s="2">
        <v>42</v>
      </c>
      <c r="H609" s="2" t="str">
        <f t="shared" si="21"/>
        <v>W</v>
      </c>
      <c r="I609" s="5"/>
      <c r="J609" s="5"/>
      <c r="K609" s="5"/>
      <c r="L609" s="5"/>
      <c r="M609" s="2" t="s">
        <v>191</v>
      </c>
      <c r="N609" s="5"/>
      <c r="O609" s="5"/>
      <c r="P609" s="5">
        <v>11.98</v>
      </c>
      <c r="Q609" s="2" t="s">
        <v>18</v>
      </c>
      <c r="R609" s="5"/>
      <c r="S609" s="5"/>
      <c r="V609" s="5"/>
      <c r="W609" s="6" t="s">
        <v>1934</v>
      </c>
    </row>
    <row r="610" spans="1:23" x14ac:dyDescent="0.15">
      <c r="A610" s="2" t="s">
        <v>97</v>
      </c>
      <c r="B610" s="2" t="s">
        <v>3933</v>
      </c>
      <c r="C610" s="2" t="s">
        <v>974</v>
      </c>
      <c r="D610" s="2" t="s">
        <v>472</v>
      </c>
      <c r="E610" s="1"/>
      <c r="F610" s="2" t="s">
        <v>129</v>
      </c>
      <c r="G610" s="2">
        <v>42</v>
      </c>
      <c r="H610" s="2" t="str">
        <f t="shared" si="21"/>
        <v>W</v>
      </c>
      <c r="I610" s="5">
        <v>20.82</v>
      </c>
      <c r="J610" s="5">
        <f>0.2743*I610^2.758</f>
        <v>1187.3961806083005</v>
      </c>
      <c r="K610" s="5"/>
      <c r="L610" s="5">
        <v>15</v>
      </c>
      <c r="M610" s="2" t="s">
        <v>191</v>
      </c>
      <c r="N610" s="5">
        <f>(P610+24.048-(1.102*O610))/0.277</f>
        <v>36.027436823104672</v>
      </c>
      <c r="O610" s="5">
        <v>24.2</v>
      </c>
      <c r="P610" s="5">
        <v>12.6</v>
      </c>
      <c r="Q610" s="2" t="s">
        <v>18</v>
      </c>
      <c r="R610" s="5">
        <f>P610*L610</f>
        <v>189</v>
      </c>
      <c r="S610" s="5">
        <f>(R610/J610)*100</f>
        <v>15.917181062783586</v>
      </c>
      <c r="V610" s="5"/>
      <c r="W610" s="6" t="s">
        <v>1947</v>
      </c>
    </row>
    <row r="611" spans="1:23" x14ac:dyDescent="0.15">
      <c r="A611" s="2" t="s">
        <v>97</v>
      </c>
      <c r="B611" s="2" t="s">
        <v>3933</v>
      </c>
      <c r="C611" s="2" t="s">
        <v>974</v>
      </c>
      <c r="D611" s="2" t="s">
        <v>472</v>
      </c>
      <c r="E611" s="1"/>
      <c r="F611" s="2" t="s">
        <v>130</v>
      </c>
      <c r="G611" s="2">
        <v>44</v>
      </c>
      <c r="H611" s="2" t="str">
        <f t="shared" si="21"/>
        <v>W</v>
      </c>
      <c r="I611" s="5"/>
      <c r="J611" s="5"/>
      <c r="K611" s="5"/>
      <c r="L611" s="5">
        <v>10.6</v>
      </c>
      <c r="M611" s="2" t="s">
        <v>191</v>
      </c>
      <c r="N611" s="5"/>
      <c r="O611" s="5"/>
      <c r="P611" s="5"/>
      <c r="R611" s="5"/>
      <c r="S611" s="5"/>
      <c r="V611" s="5"/>
      <c r="W611" s="6" t="s">
        <v>1948</v>
      </c>
    </row>
    <row r="612" spans="1:23" x14ac:dyDescent="0.15">
      <c r="A612" s="2" t="s">
        <v>97</v>
      </c>
      <c r="B612" s="2" t="s">
        <v>3933</v>
      </c>
      <c r="C612" s="2" t="s">
        <v>974</v>
      </c>
      <c r="D612" s="2" t="s">
        <v>472</v>
      </c>
      <c r="E612" s="1"/>
      <c r="F612" s="2" t="s">
        <v>1913</v>
      </c>
      <c r="G612" s="2">
        <v>44.38</v>
      </c>
      <c r="H612" s="2" t="str">
        <f t="shared" si="21"/>
        <v>W</v>
      </c>
      <c r="I612" s="5"/>
      <c r="J612" s="5"/>
      <c r="K612" s="5"/>
      <c r="L612" s="5">
        <v>10.6</v>
      </c>
      <c r="M612" s="2" t="s">
        <v>191</v>
      </c>
      <c r="N612" s="5"/>
      <c r="O612" s="5"/>
      <c r="P612" s="5"/>
      <c r="R612" s="5"/>
      <c r="S612" s="5"/>
      <c r="T612" s="2">
        <v>1</v>
      </c>
      <c r="U612" s="2" t="str">
        <f>IF(T612&lt;=1, "1",IF(AND(T612&gt;1,T612&lt;4), "2-3", "+4"))</f>
        <v>1</v>
      </c>
      <c r="V612" s="5"/>
      <c r="W612" s="6" t="s">
        <v>2357</v>
      </c>
    </row>
    <row r="613" spans="1:23" x14ac:dyDescent="0.15">
      <c r="A613" s="2" t="s">
        <v>97</v>
      </c>
      <c r="B613" s="2" t="s">
        <v>3933</v>
      </c>
      <c r="C613" s="2" t="s">
        <v>974</v>
      </c>
      <c r="D613" s="2" t="s">
        <v>472</v>
      </c>
      <c r="E613" s="1"/>
      <c r="F613" s="2" t="s">
        <v>474</v>
      </c>
      <c r="G613" s="2">
        <v>44.26</v>
      </c>
      <c r="H613" s="2" t="str">
        <f t="shared" si="21"/>
        <v>W</v>
      </c>
      <c r="I613" s="5">
        <v>19.7</v>
      </c>
      <c r="J613" s="5">
        <v>1080</v>
      </c>
      <c r="K613" s="5"/>
      <c r="L613" s="5">
        <v>9.8000000000000007</v>
      </c>
      <c r="M613" s="2" t="s">
        <v>191</v>
      </c>
      <c r="N613" s="5">
        <v>37.5</v>
      </c>
      <c r="O613" s="5">
        <v>23.5</v>
      </c>
      <c r="P613" s="5">
        <v>12.7</v>
      </c>
      <c r="Q613" s="2" t="s">
        <v>18</v>
      </c>
      <c r="R613" s="5">
        <v>112</v>
      </c>
      <c r="S613" s="5">
        <v>10.37</v>
      </c>
      <c r="V613" s="5"/>
      <c r="W613" s="6" t="s">
        <v>2226</v>
      </c>
    </row>
    <row r="614" spans="1:23" x14ac:dyDescent="0.15">
      <c r="A614" s="2" t="s">
        <v>97</v>
      </c>
      <c r="B614" s="2" t="s">
        <v>3933</v>
      </c>
      <c r="C614" s="2" t="s">
        <v>974</v>
      </c>
      <c r="D614" s="2" t="s">
        <v>472</v>
      </c>
      <c r="E614" s="1"/>
      <c r="F614" s="2" t="s">
        <v>475</v>
      </c>
      <c r="G614" s="2">
        <v>46.08</v>
      </c>
      <c r="H614" s="2" t="str">
        <f t="shared" si="21"/>
        <v>W</v>
      </c>
      <c r="I614" s="5">
        <v>24.46</v>
      </c>
      <c r="J614" s="5">
        <v>2210</v>
      </c>
      <c r="K614" s="5"/>
      <c r="L614" s="5">
        <v>17.7</v>
      </c>
      <c r="M614" s="2" t="s">
        <v>191</v>
      </c>
      <c r="N614" s="5"/>
      <c r="O614" s="5"/>
      <c r="P614" s="5"/>
      <c r="R614" s="5"/>
      <c r="S614" s="5"/>
      <c r="V614" s="5"/>
      <c r="W614" s="6" t="s">
        <v>2225</v>
      </c>
    </row>
    <row r="615" spans="1:23" x14ac:dyDescent="0.15">
      <c r="A615" s="2" t="s">
        <v>97</v>
      </c>
      <c r="B615" s="2" t="s">
        <v>3933</v>
      </c>
      <c r="C615" s="2" t="s">
        <v>974</v>
      </c>
      <c r="D615" s="2" t="s">
        <v>472</v>
      </c>
      <c r="E615" s="1"/>
      <c r="F615" s="2" t="s">
        <v>473</v>
      </c>
      <c r="G615" s="2">
        <v>45.33</v>
      </c>
      <c r="H615" s="2" t="str">
        <f t="shared" si="21"/>
        <v>W</v>
      </c>
      <c r="I615" s="5">
        <v>21.74</v>
      </c>
      <c r="J615" s="5">
        <f xml:space="preserve"> 0.2743*I615^2.758</f>
        <v>1337.7889926089333</v>
      </c>
      <c r="K615" s="5"/>
      <c r="L615" s="5">
        <v>23</v>
      </c>
      <c r="M615" s="2" t="s">
        <v>191</v>
      </c>
      <c r="N615" s="5">
        <v>35.36</v>
      </c>
      <c r="O615" s="5">
        <v>24.78</v>
      </c>
      <c r="P615" s="5">
        <v>13.8</v>
      </c>
      <c r="Q615" s="2" t="s">
        <v>18</v>
      </c>
      <c r="R615" s="5">
        <f>P615*L615</f>
        <v>317.40000000000003</v>
      </c>
      <c r="S615" s="5"/>
      <c r="V615" s="5"/>
      <c r="W615" s="6" t="s">
        <v>2225</v>
      </c>
    </row>
    <row r="616" spans="1:23" x14ac:dyDescent="0.15">
      <c r="A616" s="2" t="s">
        <v>97</v>
      </c>
      <c r="B616" s="2" t="s">
        <v>3933</v>
      </c>
      <c r="C616" s="2" t="s">
        <v>974</v>
      </c>
      <c r="D616" s="2" t="s">
        <v>472</v>
      </c>
      <c r="E616" s="1"/>
      <c r="F616" s="2" t="s">
        <v>2265</v>
      </c>
      <c r="G616" s="2">
        <v>42.55</v>
      </c>
      <c r="H616" s="2" t="str">
        <f t="shared" si="21"/>
        <v>W</v>
      </c>
      <c r="I616" s="5">
        <v>19.13</v>
      </c>
      <c r="J616" s="5">
        <v>940</v>
      </c>
      <c r="K616" s="5"/>
      <c r="L616" s="5">
        <v>9.33</v>
      </c>
      <c r="M616" s="2" t="s">
        <v>191</v>
      </c>
      <c r="N616" s="5"/>
      <c r="O616" s="5"/>
      <c r="P616" s="5"/>
      <c r="R616" s="5"/>
      <c r="S616" s="5"/>
      <c r="V616" s="5"/>
      <c r="W616" s="6" t="s">
        <v>2358</v>
      </c>
    </row>
    <row r="617" spans="1:23" x14ac:dyDescent="0.15">
      <c r="A617" s="2" t="s">
        <v>97</v>
      </c>
      <c r="B617" s="2" t="s">
        <v>3933</v>
      </c>
      <c r="C617" s="2" t="s">
        <v>3481</v>
      </c>
      <c r="D617" s="2" t="s">
        <v>498</v>
      </c>
      <c r="E617" s="1"/>
      <c r="F617" s="2" t="s">
        <v>2949</v>
      </c>
      <c r="G617" s="2">
        <v>52.41</v>
      </c>
      <c r="H617" s="2" t="str">
        <f t="shared" si="21"/>
        <v>W</v>
      </c>
      <c r="I617" s="5"/>
      <c r="J617" s="5"/>
      <c r="K617" s="5"/>
      <c r="L617" s="5">
        <v>14.25</v>
      </c>
      <c r="M617" s="2" t="s">
        <v>191</v>
      </c>
      <c r="N617" s="5"/>
      <c r="O617" s="5"/>
      <c r="P617" s="5"/>
      <c r="R617" s="5"/>
      <c r="S617" s="5"/>
      <c r="V617" s="5"/>
      <c r="W617" s="6" t="s">
        <v>2994</v>
      </c>
    </row>
    <row r="618" spans="1:23" x14ac:dyDescent="0.15">
      <c r="A618" s="2" t="s">
        <v>97</v>
      </c>
      <c r="B618" s="2" t="s">
        <v>3933</v>
      </c>
      <c r="C618" s="2" t="s">
        <v>3481</v>
      </c>
      <c r="D618" s="2" t="s">
        <v>498</v>
      </c>
      <c r="E618" s="1"/>
      <c r="F618" s="2" t="s">
        <v>138</v>
      </c>
      <c r="G618" s="2">
        <v>38</v>
      </c>
      <c r="H618" s="2" t="str">
        <f t="shared" si="21"/>
        <v>W</v>
      </c>
      <c r="I618" s="5">
        <v>15.24</v>
      </c>
      <c r="J618" s="5">
        <f>0.00299*(I618*10)^2.439</f>
        <v>630.91597328843955</v>
      </c>
      <c r="K618" s="5"/>
      <c r="L618" s="5">
        <v>7.3</v>
      </c>
      <c r="M618" s="2" t="s">
        <v>191</v>
      </c>
      <c r="N618" s="5">
        <v>33.549999999999997</v>
      </c>
      <c r="O618" s="5">
        <v>20.32</v>
      </c>
      <c r="P618" s="5">
        <f xml:space="preserve"> 0.233*N618+ 0.519*O618- 10.521</f>
        <v>7.8422300000000007</v>
      </c>
      <c r="Q618" s="2" t="s">
        <v>376</v>
      </c>
      <c r="R618" s="5">
        <f>P618*L618</f>
        <v>57.248279000000004</v>
      </c>
      <c r="S618" s="5">
        <f>(R618/J618)*100</f>
        <v>9.0738357283319999</v>
      </c>
      <c r="V618" s="5"/>
      <c r="W618" s="6" t="s">
        <v>1797</v>
      </c>
    </row>
    <row r="619" spans="1:23" x14ac:dyDescent="0.15">
      <c r="A619" s="2" t="s">
        <v>97</v>
      </c>
      <c r="B619" s="2" t="s">
        <v>3933</v>
      </c>
      <c r="C619" s="2" t="s">
        <v>3481</v>
      </c>
      <c r="D619" s="2" t="s">
        <v>498</v>
      </c>
      <c r="E619" s="1"/>
      <c r="F619" s="2" t="s">
        <v>374</v>
      </c>
      <c r="G619" s="2" t="s">
        <v>374</v>
      </c>
      <c r="H619" s="2" t="str">
        <f t="shared" si="21"/>
        <v>C</v>
      </c>
      <c r="I619" s="5"/>
      <c r="J619" s="5"/>
      <c r="K619" s="5"/>
      <c r="L619" s="5"/>
      <c r="M619" s="2" t="s">
        <v>191</v>
      </c>
      <c r="N619" s="5">
        <v>33</v>
      </c>
      <c r="O619" s="5">
        <v>19</v>
      </c>
      <c r="P619" s="5">
        <f xml:space="preserve"> 0.233*N619+ 0.519*O619- 10.521</f>
        <v>7.0289999999999999</v>
      </c>
      <c r="Q619" s="2" t="s">
        <v>376</v>
      </c>
      <c r="R619" s="5"/>
      <c r="S619" s="5"/>
      <c r="V619" s="5"/>
      <c r="W619" s="6" t="s">
        <v>3299</v>
      </c>
    </row>
    <row r="620" spans="1:23" x14ac:dyDescent="0.15">
      <c r="A620" s="2" t="s">
        <v>97</v>
      </c>
      <c r="B620" s="2" t="s">
        <v>3933</v>
      </c>
      <c r="C620" s="2" t="s">
        <v>3481</v>
      </c>
      <c r="D620" s="2" t="s">
        <v>498</v>
      </c>
      <c r="E620" s="1"/>
      <c r="F620" s="2" t="s">
        <v>214</v>
      </c>
      <c r="G620" s="2">
        <v>37</v>
      </c>
      <c r="H620" s="2" t="str">
        <f t="shared" si="21"/>
        <v>W</v>
      </c>
      <c r="I620" s="5">
        <v>14.67</v>
      </c>
      <c r="J620" s="5">
        <v>626.70000000000005</v>
      </c>
      <c r="K620" s="7"/>
      <c r="L620" s="5">
        <v>6.7</v>
      </c>
      <c r="M620" s="2" t="s">
        <v>191</v>
      </c>
      <c r="N620" s="5">
        <v>31.8</v>
      </c>
      <c r="O620" s="5">
        <v>22.2</v>
      </c>
      <c r="P620" s="5">
        <v>8.34</v>
      </c>
      <c r="Q620" s="2" t="s">
        <v>18</v>
      </c>
      <c r="R620" s="5">
        <v>55.878</v>
      </c>
      <c r="S620" s="5">
        <v>8.92</v>
      </c>
      <c r="T620" s="9" t="s">
        <v>372</v>
      </c>
      <c r="U620" s="40" t="s">
        <v>395</v>
      </c>
      <c r="V620" s="5"/>
      <c r="W620" s="6" t="s">
        <v>2365</v>
      </c>
    </row>
    <row r="621" spans="1:23" x14ac:dyDescent="0.15">
      <c r="A621" s="2" t="s">
        <v>97</v>
      </c>
      <c r="B621" s="2" t="s">
        <v>3933</v>
      </c>
      <c r="C621" s="2" t="s">
        <v>3481</v>
      </c>
      <c r="D621" s="2" t="s">
        <v>498</v>
      </c>
      <c r="E621" s="1"/>
      <c r="F621" s="2" t="s">
        <v>143</v>
      </c>
      <c r="G621" s="2">
        <v>52</v>
      </c>
      <c r="H621" s="2" t="str">
        <f t="shared" si="21"/>
        <v>W</v>
      </c>
      <c r="I621" s="5">
        <v>17.899999999999999</v>
      </c>
      <c r="J621" s="5">
        <v>881.3</v>
      </c>
      <c r="K621" s="5">
        <v>17</v>
      </c>
      <c r="L621" s="5">
        <v>13.3</v>
      </c>
      <c r="M621" s="2" t="s">
        <v>191</v>
      </c>
      <c r="N621" s="5">
        <v>33.4</v>
      </c>
      <c r="O621" s="5">
        <v>20.5</v>
      </c>
      <c r="P621" s="5">
        <v>8.1</v>
      </c>
      <c r="Q621" s="2" t="s">
        <v>18</v>
      </c>
      <c r="R621" s="5">
        <v>89.7</v>
      </c>
      <c r="S621" s="5">
        <f>(R621/J621)*100</f>
        <v>10.178145920798819</v>
      </c>
      <c r="V621" s="5"/>
      <c r="W621" s="6" t="s">
        <v>1801</v>
      </c>
    </row>
    <row r="622" spans="1:23" x14ac:dyDescent="0.15">
      <c r="A622" s="2" t="s">
        <v>97</v>
      </c>
      <c r="B622" s="2" t="s">
        <v>3933</v>
      </c>
      <c r="C622" s="2" t="s">
        <v>3481</v>
      </c>
      <c r="D622" s="2" t="s">
        <v>498</v>
      </c>
      <c r="E622" s="1"/>
      <c r="F622" s="2" t="s">
        <v>2947</v>
      </c>
      <c r="G622" s="2">
        <v>54</v>
      </c>
      <c r="H622" s="2" t="str">
        <f t="shared" si="21"/>
        <v>W</v>
      </c>
      <c r="I622" s="5"/>
      <c r="J622" s="5"/>
      <c r="K622" s="5"/>
      <c r="L622" s="5">
        <v>15</v>
      </c>
      <c r="M622" s="2" t="s">
        <v>191</v>
      </c>
      <c r="N622" s="5"/>
      <c r="O622" s="5"/>
      <c r="P622" s="5"/>
      <c r="R622" s="5"/>
      <c r="S622" s="5"/>
      <c r="T622" s="2">
        <v>1</v>
      </c>
      <c r="U622" s="2" t="str">
        <f t="shared" ref="U622:U628" si="22">IF(T622&lt;=1, "1",IF(AND(T622&gt;1,T622&lt;4), "2-3", "+4"))</f>
        <v>1</v>
      </c>
      <c r="V622" s="5"/>
      <c r="W622" s="6" t="s">
        <v>2948</v>
      </c>
    </row>
    <row r="623" spans="1:23" x14ac:dyDescent="0.15">
      <c r="A623" s="2" t="s">
        <v>97</v>
      </c>
      <c r="B623" s="2" t="s">
        <v>3933</v>
      </c>
      <c r="C623" s="2" t="s">
        <v>3481</v>
      </c>
      <c r="D623" s="2" t="s">
        <v>498</v>
      </c>
      <c r="E623" s="1"/>
      <c r="F623" s="2" t="s">
        <v>214</v>
      </c>
      <c r="G623" s="2">
        <v>37</v>
      </c>
      <c r="H623" s="2" t="str">
        <f t="shared" si="21"/>
        <v>W</v>
      </c>
      <c r="I623" s="5">
        <v>14.81</v>
      </c>
      <c r="J623" s="5">
        <v>602</v>
      </c>
      <c r="K623" s="7">
        <f>MEDIAN(5,9)</f>
        <v>7</v>
      </c>
      <c r="L623" s="5">
        <v>6.2</v>
      </c>
      <c r="M623" s="2" t="s">
        <v>191</v>
      </c>
      <c r="N623" s="5"/>
      <c r="O623" s="5"/>
      <c r="P623" s="5"/>
      <c r="R623" s="5"/>
      <c r="S623" s="5"/>
      <c r="T623" s="9">
        <v>1</v>
      </c>
      <c r="U623" s="2" t="str">
        <f t="shared" si="22"/>
        <v>1</v>
      </c>
      <c r="V623" s="5"/>
      <c r="W623" s="6" t="s">
        <v>2366</v>
      </c>
    </row>
    <row r="624" spans="1:23" x14ac:dyDescent="0.15">
      <c r="A624" s="2" t="s">
        <v>97</v>
      </c>
      <c r="B624" s="2" t="s">
        <v>3933</v>
      </c>
      <c r="C624" s="2" t="s">
        <v>3481</v>
      </c>
      <c r="D624" s="2" t="s">
        <v>498</v>
      </c>
      <c r="E624" s="1"/>
      <c r="F624" s="2" t="s">
        <v>4134</v>
      </c>
      <c r="G624" s="2">
        <v>47.6</v>
      </c>
      <c r="H624" s="2" t="str">
        <f t="shared" si="21"/>
        <v>W</v>
      </c>
      <c r="I624" s="5">
        <v>17.010000000000002</v>
      </c>
      <c r="J624" s="5">
        <v>852.9</v>
      </c>
      <c r="K624" s="7"/>
      <c r="L624" s="5">
        <v>9.25</v>
      </c>
      <c r="M624" s="2" t="s">
        <v>191</v>
      </c>
      <c r="N624" s="5">
        <v>32.979999999999997</v>
      </c>
      <c r="O624" s="5">
        <v>19.23</v>
      </c>
      <c r="P624" s="5">
        <v>5.85</v>
      </c>
      <c r="Q624" s="2" t="s">
        <v>18</v>
      </c>
      <c r="R624" s="5">
        <v>54.11</v>
      </c>
      <c r="S624" s="5">
        <v>6.34</v>
      </c>
      <c r="T624" s="9">
        <v>1.5</v>
      </c>
      <c r="U624" s="2">
        <v>1</v>
      </c>
      <c r="V624" s="5">
        <v>9.43</v>
      </c>
      <c r="W624" s="6" t="s">
        <v>4135</v>
      </c>
    </row>
    <row r="625" spans="1:23" x14ac:dyDescent="0.15">
      <c r="A625" s="2" t="s">
        <v>97</v>
      </c>
      <c r="B625" s="2" t="s">
        <v>3933</v>
      </c>
      <c r="C625" s="2" t="s">
        <v>3481</v>
      </c>
      <c r="D625" s="2" t="s">
        <v>498</v>
      </c>
      <c r="E625" s="1"/>
      <c r="F625" s="2" t="s">
        <v>2945</v>
      </c>
      <c r="G625" s="2">
        <v>45.08</v>
      </c>
      <c r="H625" s="2" t="str">
        <f t="shared" si="21"/>
        <v>W</v>
      </c>
      <c r="I625" s="5"/>
      <c r="J625" s="5"/>
      <c r="K625" s="5"/>
      <c r="L625" s="5">
        <v>10.119999999999999</v>
      </c>
      <c r="M625" s="2" t="s">
        <v>191</v>
      </c>
      <c r="N625" s="5">
        <v>33.4</v>
      </c>
      <c r="O625" s="5">
        <v>20.5</v>
      </c>
      <c r="P625" s="5">
        <v>8.15</v>
      </c>
      <c r="Q625" s="2" t="s">
        <v>18</v>
      </c>
      <c r="R625" s="5">
        <v>82.48</v>
      </c>
      <c r="S625" s="5"/>
      <c r="T625" s="9">
        <f>MEDIAN(1,2)</f>
        <v>1.5</v>
      </c>
      <c r="U625" s="2" t="str">
        <f t="shared" si="22"/>
        <v>2-3</v>
      </c>
      <c r="V625" s="5"/>
      <c r="W625" s="6" t="s">
        <v>3629</v>
      </c>
    </row>
    <row r="626" spans="1:23" x14ac:dyDescent="0.15">
      <c r="A626" s="2" t="s">
        <v>97</v>
      </c>
      <c r="B626" s="2" t="s">
        <v>3933</v>
      </c>
      <c r="C626" s="2" t="s">
        <v>3481</v>
      </c>
      <c r="D626" s="2" t="s">
        <v>498</v>
      </c>
      <c r="E626" s="1"/>
      <c r="F626" s="2" t="s">
        <v>2944</v>
      </c>
      <c r="G626" s="2">
        <v>45.04</v>
      </c>
      <c r="H626" s="2" t="str">
        <f t="shared" ref="H626:H657" si="23">IF(G626="captive","C","W")</f>
        <v>W</v>
      </c>
      <c r="I626" s="5"/>
      <c r="J626" s="5"/>
      <c r="K626" s="7">
        <f>MEDIAN(5,6)</f>
        <v>5.5</v>
      </c>
      <c r="L626" s="7">
        <f>MEDIAN(5,19)</f>
        <v>12</v>
      </c>
      <c r="M626" s="2" t="s">
        <v>191</v>
      </c>
      <c r="N626" s="5"/>
      <c r="O626" s="5"/>
      <c r="P626" s="5"/>
      <c r="R626" s="5"/>
      <c r="S626" s="5"/>
      <c r="T626" s="2">
        <v>1</v>
      </c>
      <c r="U626" s="2" t="str">
        <f t="shared" si="22"/>
        <v>1</v>
      </c>
      <c r="V626" s="5"/>
      <c r="W626" s="6" t="s">
        <v>3238</v>
      </c>
    </row>
    <row r="627" spans="1:23" x14ac:dyDescent="0.15">
      <c r="A627" s="2" t="s">
        <v>97</v>
      </c>
      <c r="B627" s="2" t="s">
        <v>3933</v>
      </c>
      <c r="C627" s="2" t="s">
        <v>3481</v>
      </c>
      <c r="D627" s="2" t="s">
        <v>498</v>
      </c>
      <c r="E627" s="1"/>
      <c r="F627" s="2" t="s">
        <v>2951</v>
      </c>
      <c r="G627" s="2">
        <f>MEDIAN(42,44)</f>
        <v>43</v>
      </c>
      <c r="H627" s="2" t="str">
        <f t="shared" si="23"/>
        <v>W</v>
      </c>
      <c r="I627" s="5">
        <v>11.35</v>
      </c>
      <c r="J627" s="5">
        <v>307.5</v>
      </c>
      <c r="K627" s="7">
        <f>MEDIAN(6,9)</f>
        <v>7.5</v>
      </c>
      <c r="L627" s="5">
        <v>5.5</v>
      </c>
      <c r="M627" s="2" t="s">
        <v>191</v>
      </c>
      <c r="N627" s="5">
        <v>31.35</v>
      </c>
      <c r="O627" s="5">
        <v>18.95</v>
      </c>
      <c r="P627" s="5">
        <v>6.62</v>
      </c>
      <c r="Q627" s="2" t="s">
        <v>376</v>
      </c>
      <c r="R627" s="5">
        <v>36.4</v>
      </c>
      <c r="S627" s="5">
        <v>11.84</v>
      </c>
      <c r="T627" s="2">
        <v>3</v>
      </c>
      <c r="U627" s="2" t="str">
        <f t="shared" si="22"/>
        <v>2-3</v>
      </c>
      <c r="V627" s="5">
        <f>S627*T627</f>
        <v>35.519999999999996</v>
      </c>
      <c r="W627" s="6" t="s">
        <v>2996</v>
      </c>
    </row>
    <row r="628" spans="1:23" x14ac:dyDescent="0.15">
      <c r="A628" s="2" t="s">
        <v>97</v>
      </c>
      <c r="B628" s="2" t="s">
        <v>3933</v>
      </c>
      <c r="C628" s="2" t="s">
        <v>3481</v>
      </c>
      <c r="D628" s="2" t="s">
        <v>498</v>
      </c>
      <c r="E628" s="1"/>
      <c r="F628" s="2" t="s">
        <v>2946</v>
      </c>
      <c r="G628" s="2">
        <v>54.67</v>
      </c>
      <c r="H628" s="2" t="str">
        <f t="shared" si="23"/>
        <v>W</v>
      </c>
      <c r="I628" s="5">
        <v>17</v>
      </c>
      <c r="J628" s="5">
        <v>916</v>
      </c>
      <c r="K628" s="5"/>
      <c r="L628" s="5">
        <v>12.5</v>
      </c>
      <c r="M628" s="2" t="s">
        <v>191</v>
      </c>
      <c r="N628" s="5">
        <v>33</v>
      </c>
      <c r="O628" s="5">
        <v>20</v>
      </c>
      <c r="P628" s="5">
        <f xml:space="preserve"> 0.233*N628+ 0.519*O628- 10.521</f>
        <v>7.5480000000000018</v>
      </c>
      <c r="Q628" s="2" t="s">
        <v>376</v>
      </c>
      <c r="R628" s="5">
        <f>P628*L628</f>
        <v>94.350000000000023</v>
      </c>
      <c r="S628" s="5">
        <f>(R628/J628)*100</f>
        <v>10.300218340611355</v>
      </c>
      <c r="T628" s="2">
        <v>1</v>
      </c>
      <c r="U628" s="2" t="str">
        <f t="shared" si="22"/>
        <v>1</v>
      </c>
      <c r="V628" s="5">
        <f>S628*T628</f>
        <v>10.300218340611355</v>
      </c>
      <c r="W628" s="6" t="s">
        <v>3423</v>
      </c>
    </row>
    <row r="629" spans="1:23" x14ac:dyDescent="0.15">
      <c r="A629" s="2" t="s">
        <v>97</v>
      </c>
      <c r="B629" s="2" t="s">
        <v>3933</v>
      </c>
      <c r="C629" s="2" t="s">
        <v>3481</v>
      </c>
      <c r="D629" s="2" t="s">
        <v>498</v>
      </c>
      <c r="E629" s="1"/>
      <c r="F629" s="2" t="s">
        <v>2229</v>
      </c>
      <c r="G629" s="2">
        <v>46.18</v>
      </c>
      <c r="H629" s="2" t="str">
        <f t="shared" si="23"/>
        <v>W</v>
      </c>
      <c r="I629" s="5">
        <v>15.51</v>
      </c>
      <c r="J629" s="5">
        <v>629.79999999999995</v>
      </c>
      <c r="K629" s="7">
        <f>MEDIAN(6,8)</f>
        <v>7</v>
      </c>
      <c r="L629" s="5"/>
      <c r="M629" s="2" t="s">
        <v>191</v>
      </c>
      <c r="N629" s="5"/>
      <c r="O629" s="5"/>
      <c r="P629" s="5"/>
      <c r="R629" s="5"/>
      <c r="S629" s="5"/>
      <c r="T629" s="9"/>
      <c r="U629" s="9"/>
      <c r="V629" s="5"/>
      <c r="W629" s="6" t="s">
        <v>2364</v>
      </c>
    </row>
    <row r="630" spans="1:23" x14ac:dyDescent="0.15">
      <c r="A630" s="2" t="s">
        <v>97</v>
      </c>
      <c r="B630" s="2" t="s">
        <v>3933</v>
      </c>
      <c r="C630" s="2" t="s">
        <v>3481</v>
      </c>
      <c r="D630" s="2" t="s">
        <v>498</v>
      </c>
      <c r="E630" s="1"/>
      <c r="F630" s="2" t="s">
        <v>2947</v>
      </c>
      <c r="G630" s="2">
        <v>52.25</v>
      </c>
      <c r="H630" s="2" t="str">
        <f t="shared" si="23"/>
        <v>W</v>
      </c>
      <c r="I630" s="5"/>
      <c r="J630" s="5"/>
      <c r="K630" s="5"/>
      <c r="L630" s="5">
        <v>11.3</v>
      </c>
      <c r="M630" s="2" t="s">
        <v>191</v>
      </c>
      <c r="N630" s="5">
        <v>33.799999999999997</v>
      </c>
      <c r="O630" s="5">
        <v>19.8</v>
      </c>
      <c r="P630" s="5">
        <v>7.8</v>
      </c>
      <c r="Q630" s="2" t="s">
        <v>18</v>
      </c>
      <c r="R630" s="5">
        <v>88.14</v>
      </c>
      <c r="S630" s="5"/>
      <c r="T630" s="2">
        <v>1</v>
      </c>
      <c r="U630" s="2" t="str">
        <f>IF(T630&lt;=1, "1",IF(AND(T630&gt;1,T630&lt;4), "2-3", "+4"))</f>
        <v>1</v>
      </c>
      <c r="V630" s="5"/>
      <c r="W630" s="6" t="s">
        <v>3424</v>
      </c>
    </row>
    <row r="631" spans="1:23" x14ac:dyDescent="0.15">
      <c r="A631" s="2" t="s">
        <v>97</v>
      </c>
      <c r="B631" s="2" t="s">
        <v>3933</v>
      </c>
      <c r="C631" s="2" t="s">
        <v>3481</v>
      </c>
      <c r="D631" s="2" t="s">
        <v>498</v>
      </c>
      <c r="E631" s="1"/>
      <c r="F631" s="2" t="s">
        <v>2950</v>
      </c>
      <c r="G631" s="2">
        <v>48.38</v>
      </c>
      <c r="H631" s="2" t="str">
        <f t="shared" si="23"/>
        <v>W</v>
      </c>
      <c r="I631" s="5"/>
      <c r="J631" s="5"/>
      <c r="K631" s="5"/>
      <c r="L631" s="5">
        <v>12.2</v>
      </c>
      <c r="M631" s="2" t="s">
        <v>191</v>
      </c>
      <c r="N631" s="5"/>
      <c r="O631" s="5"/>
      <c r="P631" s="5"/>
      <c r="R631" s="5"/>
      <c r="S631" s="5"/>
      <c r="T631" s="2" t="s">
        <v>893</v>
      </c>
      <c r="U631" s="40" t="s">
        <v>4047</v>
      </c>
      <c r="V631" s="5"/>
      <c r="W631" s="6" t="s">
        <v>2995</v>
      </c>
    </row>
    <row r="632" spans="1:23" x14ac:dyDescent="0.15">
      <c r="A632" s="2" t="s">
        <v>97</v>
      </c>
      <c r="B632" s="2" t="s">
        <v>3933</v>
      </c>
      <c r="C632" s="2" t="s">
        <v>3481</v>
      </c>
      <c r="D632" s="2" t="s">
        <v>498</v>
      </c>
      <c r="E632" s="1"/>
      <c r="F632" s="2" t="s">
        <v>214</v>
      </c>
      <c r="G632" s="2">
        <v>37.229999999999997</v>
      </c>
      <c r="H632" s="2" t="str">
        <f t="shared" si="23"/>
        <v>W</v>
      </c>
      <c r="I632" s="5">
        <v>13.75</v>
      </c>
      <c r="J632" s="5">
        <v>491.3</v>
      </c>
      <c r="K632" s="5">
        <v>5</v>
      </c>
      <c r="L632" s="5"/>
      <c r="M632" s="2" t="s">
        <v>191</v>
      </c>
      <c r="N632" s="5"/>
      <c r="O632" s="5"/>
      <c r="P632" s="5"/>
      <c r="R632" s="5"/>
      <c r="S632" s="5"/>
      <c r="V632" s="5"/>
      <c r="W632" s="6" t="s">
        <v>3338</v>
      </c>
    </row>
    <row r="633" spans="1:23" x14ac:dyDescent="0.15">
      <c r="A633" s="2" t="s">
        <v>97</v>
      </c>
      <c r="B633" s="2" t="s">
        <v>3933</v>
      </c>
      <c r="C633" s="2" t="s">
        <v>3481</v>
      </c>
      <c r="D633" s="2" t="s">
        <v>498</v>
      </c>
      <c r="E633" s="1"/>
      <c r="F633" s="2" t="s">
        <v>214</v>
      </c>
      <c r="G633" s="2">
        <v>37</v>
      </c>
      <c r="H633" s="2" t="str">
        <f t="shared" si="23"/>
        <v>W</v>
      </c>
      <c r="I633" s="5">
        <v>14.84</v>
      </c>
      <c r="J633" s="5">
        <v>521.6</v>
      </c>
      <c r="K633" s="5"/>
      <c r="L633" s="5">
        <v>7.5</v>
      </c>
      <c r="M633" s="2" t="s">
        <v>191</v>
      </c>
      <c r="N633" s="5"/>
      <c r="O633" s="5"/>
      <c r="P633" s="5"/>
      <c r="R633" s="5"/>
      <c r="S633" s="5"/>
      <c r="V633" s="5"/>
      <c r="W633" s="6" t="s">
        <v>3338</v>
      </c>
    </row>
    <row r="634" spans="1:23" x14ac:dyDescent="0.15">
      <c r="A634" s="2" t="s">
        <v>97</v>
      </c>
      <c r="B634" s="2" t="s">
        <v>3933</v>
      </c>
      <c r="C634" s="2" t="s">
        <v>3481</v>
      </c>
      <c r="D634" s="2" t="s">
        <v>498</v>
      </c>
      <c r="E634" s="1"/>
      <c r="F634" s="2" t="s">
        <v>2949</v>
      </c>
      <c r="G634" s="2">
        <v>52.41</v>
      </c>
      <c r="H634" s="2" t="str">
        <f t="shared" si="23"/>
        <v>W</v>
      </c>
      <c r="I634" s="5">
        <v>18.28</v>
      </c>
      <c r="J634" s="5">
        <v>1031.5999999999999</v>
      </c>
      <c r="K634" s="5"/>
      <c r="L634" s="5">
        <v>12.7</v>
      </c>
      <c r="M634" s="2" t="s">
        <v>191</v>
      </c>
      <c r="N634" s="5"/>
      <c r="O634" s="5"/>
      <c r="P634" s="5"/>
      <c r="R634" s="5"/>
      <c r="S634" s="5"/>
      <c r="V634" s="5"/>
      <c r="W634" s="6" t="s">
        <v>2997</v>
      </c>
    </row>
    <row r="635" spans="1:23" x14ac:dyDescent="0.15">
      <c r="A635" s="2" t="s">
        <v>97</v>
      </c>
      <c r="B635" s="2" t="s">
        <v>3933</v>
      </c>
      <c r="C635" s="2" t="s">
        <v>3481</v>
      </c>
      <c r="D635" s="2" t="s">
        <v>498</v>
      </c>
      <c r="E635" s="1"/>
      <c r="F635" s="2" t="s">
        <v>374</v>
      </c>
      <c r="G635" s="2" t="s">
        <v>374</v>
      </c>
      <c r="H635" s="2" t="str">
        <f t="shared" si="23"/>
        <v>C</v>
      </c>
      <c r="I635" s="5">
        <f>(EXP(LN(J635/0.00299)/2.439))/10</f>
        <v>10.949841030073669</v>
      </c>
      <c r="J635" s="5">
        <v>281.7</v>
      </c>
      <c r="K635" s="5"/>
      <c r="L635" s="5">
        <v>4</v>
      </c>
      <c r="M635" s="2" t="s">
        <v>191</v>
      </c>
      <c r="N635" s="5">
        <f>MEDIAN(28,34)</f>
        <v>31</v>
      </c>
      <c r="O635" s="5">
        <f>MEDIAN(17.5,20.5)</f>
        <v>19</v>
      </c>
      <c r="P635" s="5">
        <f>MEDIAN(5.5,7.5)</f>
        <v>6.5</v>
      </c>
      <c r="Q635" s="2" t="s">
        <v>18</v>
      </c>
      <c r="R635" s="5">
        <f>P635*L635</f>
        <v>26</v>
      </c>
      <c r="S635" s="5">
        <f>(R635/J635)*100</f>
        <v>9.229676961306355</v>
      </c>
      <c r="T635" s="2" t="s">
        <v>634</v>
      </c>
      <c r="U635" s="40" t="s">
        <v>4047</v>
      </c>
      <c r="V635" s="5"/>
      <c r="W635" s="6" t="s">
        <v>2998</v>
      </c>
    </row>
    <row r="636" spans="1:23" x14ac:dyDescent="0.15">
      <c r="A636" s="2" t="s">
        <v>97</v>
      </c>
      <c r="B636" s="2" t="s">
        <v>3933</v>
      </c>
      <c r="C636" s="2" t="s">
        <v>3481</v>
      </c>
      <c r="D636" s="2" t="s">
        <v>498</v>
      </c>
      <c r="E636" s="1"/>
      <c r="F636" s="2" t="s">
        <v>2291</v>
      </c>
      <c r="G636" s="2">
        <v>46.72</v>
      </c>
      <c r="H636" s="2" t="str">
        <f t="shared" si="23"/>
        <v>W</v>
      </c>
      <c r="I636" s="5"/>
      <c r="J636" s="5"/>
      <c r="K636" s="5"/>
      <c r="L636" s="5">
        <v>8.2799999999999994</v>
      </c>
      <c r="M636" s="2" t="s">
        <v>191</v>
      </c>
      <c r="N636" s="5">
        <v>35.9</v>
      </c>
      <c r="O636" s="5">
        <v>19.899999999999999</v>
      </c>
      <c r="P636" s="5">
        <f xml:space="preserve"> 0.233*N636+ 0.519*O636- 10.521</f>
        <v>8.1717999999999975</v>
      </c>
      <c r="Q636" s="2" t="s">
        <v>376</v>
      </c>
      <c r="R636" s="5">
        <v>71.42</v>
      </c>
      <c r="S636" s="5"/>
      <c r="V636" s="5"/>
      <c r="W636" s="6" t="s">
        <v>2999</v>
      </c>
    </row>
    <row r="637" spans="1:23" x14ac:dyDescent="0.15">
      <c r="A637" s="2" t="s">
        <v>97</v>
      </c>
      <c r="B637" s="2" t="s">
        <v>3933</v>
      </c>
      <c r="C637" s="2" t="s">
        <v>3481</v>
      </c>
      <c r="D637" s="2" t="s">
        <v>498</v>
      </c>
      <c r="E637" s="1"/>
      <c r="F637" s="2" t="s">
        <v>2946</v>
      </c>
      <c r="G637" s="2">
        <v>54.67</v>
      </c>
      <c r="H637" s="2" t="str">
        <f t="shared" si="23"/>
        <v>W</v>
      </c>
      <c r="I637" s="5">
        <v>17.3</v>
      </c>
      <c r="J637" s="5">
        <v>975</v>
      </c>
      <c r="K637" s="5"/>
      <c r="L637" s="5">
        <v>11</v>
      </c>
      <c r="M637" s="2" t="s">
        <v>191</v>
      </c>
      <c r="N637" s="5"/>
      <c r="O637" s="5"/>
      <c r="P637" s="5"/>
      <c r="R637" s="5"/>
      <c r="S637" s="5"/>
      <c r="V637" s="5"/>
      <c r="W637" s="6" t="s">
        <v>3000</v>
      </c>
    </row>
    <row r="638" spans="1:23" x14ac:dyDescent="0.15">
      <c r="A638" s="2" t="s">
        <v>97</v>
      </c>
      <c r="B638" s="2" t="s">
        <v>3933</v>
      </c>
      <c r="C638" s="2" t="s">
        <v>3481</v>
      </c>
      <c r="D638" s="2" t="s">
        <v>498</v>
      </c>
      <c r="E638" s="1"/>
      <c r="F638" s="2" t="s">
        <v>2944</v>
      </c>
      <c r="G638" s="2">
        <v>45.04</v>
      </c>
      <c r="H638" s="2" t="str">
        <f t="shared" si="23"/>
        <v>W</v>
      </c>
      <c r="I638" s="5"/>
      <c r="J638" s="5"/>
      <c r="K638" s="5"/>
      <c r="L638" s="5">
        <v>10.25</v>
      </c>
      <c r="M638" s="2" t="s">
        <v>191</v>
      </c>
      <c r="N638" s="5">
        <v>32.9</v>
      </c>
      <c r="O638" s="5">
        <v>19.399999999999999</v>
      </c>
      <c r="P638" s="5">
        <v>9.1</v>
      </c>
      <c r="Q638" s="2" t="s">
        <v>18</v>
      </c>
      <c r="R638" s="5">
        <v>93.28</v>
      </c>
      <c r="S638" s="5"/>
      <c r="T638" s="2">
        <v>2</v>
      </c>
      <c r="U638" s="2" t="str">
        <f>IF(T638&lt;=1, "1",IF(AND(T638&gt;1,T638&lt;4), "2-3", "+4"))</f>
        <v>2-3</v>
      </c>
      <c r="V638" s="5"/>
      <c r="W638" s="6" t="s">
        <v>3007</v>
      </c>
    </row>
    <row r="639" spans="1:23" x14ac:dyDescent="0.15">
      <c r="A639" s="4" t="s">
        <v>97</v>
      </c>
      <c r="B639" s="2" t="s">
        <v>3933</v>
      </c>
      <c r="C639" s="4" t="s">
        <v>3481</v>
      </c>
      <c r="D639" s="4" t="s">
        <v>498</v>
      </c>
      <c r="E639" s="1"/>
      <c r="F639" s="4" t="s">
        <v>136</v>
      </c>
      <c r="G639" s="4">
        <v>36.880000000000003</v>
      </c>
      <c r="H639" s="2" t="str">
        <f t="shared" si="23"/>
        <v>W</v>
      </c>
      <c r="I639" s="33">
        <v>13.080000000000002</v>
      </c>
      <c r="J639" s="33">
        <v>366.5</v>
      </c>
      <c r="K639" s="33"/>
      <c r="L639" s="33"/>
      <c r="M639" s="2" t="s">
        <v>191</v>
      </c>
      <c r="N639" s="33"/>
      <c r="O639" s="33"/>
      <c r="P639" s="33"/>
      <c r="Q639" s="4"/>
      <c r="R639" s="33"/>
      <c r="S639" s="33"/>
      <c r="T639" s="4"/>
      <c r="U639" s="4"/>
      <c r="V639" s="33"/>
      <c r="W639" s="10" t="s">
        <v>137</v>
      </c>
    </row>
    <row r="640" spans="1:23" x14ac:dyDescent="0.15">
      <c r="A640" s="2" t="s">
        <v>97</v>
      </c>
      <c r="B640" s="2" t="s">
        <v>3933</v>
      </c>
      <c r="C640" s="2" t="s">
        <v>3481</v>
      </c>
      <c r="D640" s="2" t="s">
        <v>498</v>
      </c>
      <c r="E640" s="1"/>
      <c r="F640" s="2" t="s">
        <v>2945</v>
      </c>
      <c r="G640" s="2">
        <f>MEDIAN(48.5,50.5)</f>
        <v>49.5</v>
      </c>
      <c r="H640" s="2" t="str">
        <f t="shared" si="23"/>
        <v>W</v>
      </c>
      <c r="I640" s="5"/>
      <c r="J640" s="5"/>
      <c r="K640" s="5"/>
      <c r="L640" s="5">
        <v>10</v>
      </c>
      <c r="M640" s="2" t="s">
        <v>191</v>
      </c>
      <c r="N640" s="5">
        <f>MEDIAN(30,37)</f>
        <v>33.5</v>
      </c>
      <c r="O640" s="5">
        <f>MEDIAN(18,24)</f>
        <v>21</v>
      </c>
      <c r="P640" s="5">
        <v>7.42</v>
      </c>
      <c r="Q640" s="2" t="s">
        <v>18</v>
      </c>
      <c r="R640" s="5">
        <v>74.2</v>
      </c>
      <c r="S640" s="5"/>
      <c r="T640" s="2">
        <v>2</v>
      </c>
      <c r="U640" s="2" t="str">
        <f>IF(T640&lt;=1, "1",IF(AND(T640&gt;1,T640&lt;4), "2-3", "+4"))</f>
        <v>2-3</v>
      </c>
      <c r="V640" s="5"/>
      <c r="W640" s="6" t="s">
        <v>3008</v>
      </c>
    </row>
    <row r="641" spans="1:23" x14ac:dyDescent="0.15">
      <c r="A641" s="2" t="s">
        <v>97</v>
      </c>
      <c r="B641" s="2" t="s">
        <v>3933</v>
      </c>
      <c r="C641" s="2" t="s">
        <v>3481</v>
      </c>
      <c r="D641" s="2" t="s">
        <v>498</v>
      </c>
      <c r="E641" s="1"/>
      <c r="F641" s="2" t="s">
        <v>144</v>
      </c>
      <c r="G641" s="2">
        <f>MEDIAN(50,48)</f>
        <v>49</v>
      </c>
      <c r="H641" s="2" t="str">
        <f t="shared" si="23"/>
        <v>W</v>
      </c>
      <c r="I641" s="5">
        <v>19</v>
      </c>
      <c r="J641" s="5">
        <f>0.00299*(I641*10)^2.439</f>
        <v>1080.3170268472095</v>
      </c>
      <c r="K641" s="5"/>
      <c r="L641" s="5">
        <f>MEDIAN(6,22)</f>
        <v>14</v>
      </c>
      <c r="M641" s="2" t="s">
        <v>191</v>
      </c>
      <c r="N641" s="5">
        <f>MEDIAN(30,37)</f>
        <v>33.5</v>
      </c>
      <c r="O641" s="5">
        <f>MEDIAN(18,24)</f>
        <v>21</v>
      </c>
      <c r="P641" s="5">
        <v>7.42</v>
      </c>
      <c r="Q641" s="2" t="s">
        <v>18</v>
      </c>
      <c r="R641" s="5">
        <f>P641*L641</f>
        <v>103.88</v>
      </c>
      <c r="S641" s="5">
        <f>(R641/J641)*100</f>
        <v>9.6156958946729496</v>
      </c>
      <c r="V641" s="5"/>
      <c r="W641" s="6" t="s">
        <v>1953</v>
      </c>
    </row>
    <row r="642" spans="1:23" x14ac:dyDescent="0.15">
      <c r="A642" s="2" t="s">
        <v>97</v>
      </c>
      <c r="B642" s="2" t="s">
        <v>3933</v>
      </c>
      <c r="C642" s="2" t="s">
        <v>3481</v>
      </c>
      <c r="D642" s="2" t="s">
        <v>498</v>
      </c>
      <c r="E642" s="1"/>
      <c r="F642" s="2" t="s">
        <v>139</v>
      </c>
      <c r="G642" s="2">
        <v>43</v>
      </c>
      <c r="H642" s="2" t="str">
        <f t="shared" si="23"/>
        <v>W</v>
      </c>
      <c r="I642" s="5">
        <f>AVERAGE(12.94,13.61)</f>
        <v>13.274999999999999</v>
      </c>
      <c r="J642" s="5">
        <f>AVERAGE(391.5,450.6)</f>
        <v>421.05</v>
      </c>
      <c r="K642" s="5">
        <v>14.5</v>
      </c>
      <c r="L642" s="5">
        <f>AVERAGE(5.6,5.5,5.6,5.4)</f>
        <v>5.5250000000000004</v>
      </c>
      <c r="M642" s="2" t="s">
        <v>191</v>
      </c>
      <c r="N642" s="5"/>
      <c r="O642" s="5"/>
      <c r="P642" s="5"/>
      <c r="R642" s="5"/>
      <c r="S642" s="5"/>
      <c r="T642" s="2" t="s">
        <v>122</v>
      </c>
      <c r="V642" s="5"/>
      <c r="W642" s="6" t="s">
        <v>1911</v>
      </c>
    </row>
    <row r="643" spans="1:23" x14ac:dyDescent="0.15">
      <c r="A643" s="2" t="s">
        <v>97</v>
      </c>
      <c r="B643" s="2" t="s">
        <v>3933</v>
      </c>
      <c r="C643" s="2" t="s">
        <v>3481</v>
      </c>
      <c r="D643" s="2" t="s">
        <v>498</v>
      </c>
      <c r="E643" s="1"/>
      <c r="F643" s="2" t="s">
        <v>140</v>
      </c>
      <c r="G643" s="2">
        <v>43</v>
      </c>
      <c r="H643" s="2" t="str">
        <f t="shared" si="23"/>
        <v>W</v>
      </c>
      <c r="I643" s="5">
        <f>AVERAGE(13.96,14.16)</f>
        <v>14.06</v>
      </c>
      <c r="J643" s="5">
        <f>AVERAGE(475.8,506.6)</f>
        <v>491.20000000000005</v>
      </c>
      <c r="K643" s="5">
        <v>14.5</v>
      </c>
      <c r="L643" s="5">
        <f>AVERAGE(6.5,6.1,5.9,5.2,4)</f>
        <v>5.54</v>
      </c>
      <c r="M643" s="2" t="s">
        <v>191</v>
      </c>
      <c r="N643" s="5"/>
      <c r="O643" s="5"/>
      <c r="P643" s="5"/>
      <c r="R643" s="5"/>
      <c r="S643" s="5"/>
      <c r="T643" s="2" t="s">
        <v>122</v>
      </c>
      <c r="V643" s="5"/>
      <c r="W643" s="6" t="s">
        <v>1911</v>
      </c>
    </row>
    <row r="644" spans="1:23" x14ac:dyDescent="0.15">
      <c r="A644" s="2" t="s">
        <v>97</v>
      </c>
      <c r="B644" s="2" t="s">
        <v>3933</v>
      </c>
      <c r="C644" s="2" t="s">
        <v>3481</v>
      </c>
      <c r="D644" s="2" t="s">
        <v>498</v>
      </c>
      <c r="E644" s="1"/>
      <c r="F644" s="2" t="s">
        <v>135</v>
      </c>
      <c r="G644" s="2">
        <v>43.65</v>
      </c>
      <c r="H644" s="2" t="str">
        <f t="shared" si="23"/>
        <v>W</v>
      </c>
      <c r="I644" s="5">
        <v>13.169999999999998</v>
      </c>
      <c r="J644" s="5">
        <v>483.4</v>
      </c>
      <c r="K644" s="5"/>
      <c r="L644" s="5">
        <v>5.8</v>
      </c>
      <c r="M644" s="2" t="s">
        <v>191</v>
      </c>
      <c r="N644" s="5">
        <v>32.200000000000003</v>
      </c>
      <c r="O644" s="5">
        <v>18.5</v>
      </c>
      <c r="P644" s="5">
        <v>6.3</v>
      </c>
      <c r="Q644" s="2" t="s">
        <v>18</v>
      </c>
      <c r="R644" s="5">
        <v>36.54</v>
      </c>
      <c r="S644" s="5">
        <v>7.56</v>
      </c>
      <c r="V644" s="5"/>
      <c r="W644" s="6" t="s">
        <v>2933</v>
      </c>
    </row>
    <row r="645" spans="1:23" x14ac:dyDescent="0.15">
      <c r="A645" s="2" t="s">
        <v>97</v>
      </c>
      <c r="B645" s="2" t="s">
        <v>3933</v>
      </c>
      <c r="C645" s="2" t="s">
        <v>3481</v>
      </c>
      <c r="D645" s="2" t="s">
        <v>498</v>
      </c>
      <c r="E645" s="1"/>
      <c r="F645" s="2" t="s">
        <v>140</v>
      </c>
      <c r="G645" s="2">
        <v>43</v>
      </c>
      <c r="H645" s="2" t="str">
        <f t="shared" si="23"/>
        <v>W</v>
      </c>
      <c r="I645" s="5">
        <v>14.02</v>
      </c>
      <c r="J645" s="5">
        <v>483.9</v>
      </c>
      <c r="K645" s="5"/>
      <c r="L645" s="5">
        <v>6</v>
      </c>
      <c r="M645" s="2" t="s">
        <v>191</v>
      </c>
      <c r="N645" s="5"/>
      <c r="O645" s="5"/>
      <c r="P645" s="5"/>
      <c r="R645" s="5"/>
      <c r="S645" s="5"/>
      <c r="V645" s="5"/>
      <c r="W645" s="6" t="s">
        <v>1800</v>
      </c>
    </row>
    <row r="646" spans="1:23" x14ac:dyDescent="0.15">
      <c r="A646" s="2" t="s">
        <v>97</v>
      </c>
      <c r="B646" s="2" t="s">
        <v>3933</v>
      </c>
      <c r="C646" s="2" t="s">
        <v>3481</v>
      </c>
      <c r="D646" s="2" t="s">
        <v>498</v>
      </c>
      <c r="E646" s="1"/>
      <c r="F646" s="2" t="s">
        <v>139</v>
      </c>
      <c r="G646" s="2">
        <v>43</v>
      </c>
      <c r="H646" s="2" t="str">
        <f t="shared" si="23"/>
        <v>W</v>
      </c>
      <c r="I646" s="5">
        <v>13.31</v>
      </c>
      <c r="J646" s="5">
        <v>425.1</v>
      </c>
      <c r="K646" s="5"/>
      <c r="L646" s="5">
        <v>5</v>
      </c>
      <c r="M646" s="2" t="s">
        <v>191</v>
      </c>
      <c r="N646" s="5"/>
      <c r="O646" s="5"/>
      <c r="P646" s="5"/>
      <c r="R646" s="5"/>
      <c r="S646" s="5"/>
      <c r="V646" s="5"/>
      <c r="W646" s="6" t="s">
        <v>1799</v>
      </c>
    </row>
    <row r="647" spans="1:23" x14ac:dyDescent="0.15">
      <c r="A647" s="2" t="s">
        <v>97</v>
      </c>
      <c r="B647" s="2" t="s">
        <v>3933</v>
      </c>
      <c r="C647" s="2" t="s">
        <v>3481</v>
      </c>
      <c r="D647" s="2" t="s">
        <v>498</v>
      </c>
      <c r="E647" s="1"/>
      <c r="F647" s="2" t="s">
        <v>141</v>
      </c>
      <c r="G647" s="2">
        <v>43</v>
      </c>
      <c r="H647" s="2" t="str">
        <f t="shared" si="23"/>
        <v>W</v>
      </c>
      <c r="I647" s="5">
        <v>12.7</v>
      </c>
      <c r="J647" s="5">
        <v>511.5</v>
      </c>
      <c r="K647" s="5"/>
      <c r="L647" s="5"/>
      <c r="M647" s="2" t="s">
        <v>191</v>
      </c>
      <c r="N647" s="5"/>
      <c r="O647" s="5"/>
      <c r="P647" s="5"/>
      <c r="R647" s="5"/>
      <c r="S647" s="5"/>
      <c r="V647" s="5"/>
      <c r="W647" s="6" t="s">
        <v>3363</v>
      </c>
    </row>
    <row r="648" spans="1:23" x14ac:dyDescent="0.15">
      <c r="A648" s="2" t="s">
        <v>97</v>
      </c>
      <c r="B648" s="2" t="s">
        <v>3933</v>
      </c>
      <c r="C648" s="2" t="s">
        <v>3481</v>
      </c>
      <c r="D648" s="2" t="s">
        <v>498</v>
      </c>
      <c r="E648" s="1"/>
      <c r="F648" s="2" t="s">
        <v>140</v>
      </c>
      <c r="G648" s="2">
        <v>43</v>
      </c>
      <c r="H648" s="2" t="str">
        <f t="shared" si="23"/>
        <v>W</v>
      </c>
      <c r="I648" s="5">
        <v>13.02</v>
      </c>
      <c r="J648" s="5">
        <v>466</v>
      </c>
      <c r="K648" s="5"/>
      <c r="L648" s="5"/>
      <c r="M648" s="2" t="s">
        <v>191</v>
      </c>
      <c r="N648" s="5"/>
      <c r="O648" s="5"/>
      <c r="P648" s="5"/>
      <c r="R648" s="5"/>
      <c r="S648" s="5"/>
      <c r="V648" s="5"/>
      <c r="W648" s="6" t="s">
        <v>3363</v>
      </c>
    </row>
    <row r="649" spans="1:23" x14ac:dyDescent="0.15">
      <c r="A649" s="2" t="s">
        <v>97</v>
      </c>
      <c r="B649" s="2" t="s">
        <v>3933</v>
      </c>
      <c r="C649" s="2" t="s">
        <v>3481</v>
      </c>
      <c r="D649" s="2" t="s">
        <v>498</v>
      </c>
      <c r="E649" s="1"/>
      <c r="F649" s="2" t="s">
        <v>139</v>
      </c>
      <c r="G649" s="2">
        <v>43</v>
      </c>
      <c r="H649" s="2" t="str">
        <f t="shared" si="23"/>
        <v>W</v>
      </c>
      <c r="I649" s="5">
        <v>13.24</v>
      </c>
      <c r="J649" s="5">
        <v>414.7</v>
      </c>
      <c r="K649" s="5"/>
      <c r="L649" s="5"/>
      <c r="M649" s="2" t="s">
        <v>191</v>
      </c>
      <c r="N649" s="5"/>
      <c r="O649" s="5"/>
      <c r="P649" s="5"/>
      <c r="R649" s="5"/>
      <c r="S649" s="5"/>
      <c r="V649" s="5"/>
      <c r="W649" s="6" t="s">
        <v>3363</v>
      </c>
    </row>
    <row r="650" spans="1:23" x14ac:dyDescent="0.15">
      <c r="A650" s="2" t="s">
        <v>97</v>
      </c>
      <c r="B650" s="2" t="s">
        <v>3933</v>
      </c>
      <c r="C650" s="2" t="s">
        <v>3481</v>
      </c>
      <c r="D650" s="2" t="s">
        <v>498</v>
      </c>
      <c r="E650" s="1"/>
      <c r="F650" s="2" t="s">
        <v>142</v>
      </c>
      <c r="G650" s="2">
        <v>43</v>
      </c>
      <c r="H650" s="2" t="str">
        <f t="shared" si="23"/>
        <v>W</v>
      </c>
      <c r="I650" s="5">
        <v>11.3</v>
      </c>
      <c r="J650" s="5">
        <v>328.5</v>
      </c>
      <c r="K650" s="5"/>
      <c r="L650" s="5"/>
      <c r="M650" s="2" t="s">
        <v>191</v>
      </c>
      <c r="N650" s="5"/>
      <c r="O650" s="5"/>
      <c r="P650" s="5"/>
      <c r="R650" s="5"/>
      <c r="S650" s="5"/>
      <c r="V650" s="5"/>
      <c r="W650" s="6" t="s">
        <v>3363</v>
      </c>
    </row>
    <row r="651" spans="1:23" x14ac:dyDescent="0.15">
      <c r="A651" s="2" t="s">
        <v>97</v>
      </c>
      <c r="B651" s="2" t="s">
        <v>3933</v>
      </c>
      <c r="C651" s="2" t="s">
        <v>3481</v>
      </c>
      <c r="D651" s="2" t="s">
        <v>498</v>
      </c>
      <c r="E651" s="1"/>
      <c r="F651" s="2" t="s">
        <v>139</v>
      </c>
      <c r="G651" s="2">
        <v>43.63</v>
      </c>
      <c r="H651" s="2" t="str">
        <f t="shared" si="23"/>
        <v>W</v>
      </c>
      <c r="I651" s="5">
        <v>13.24</v>
      </c>
      <c r="J651" s="5">
        <f>0.00299*(I651*10)^2.439</f>
        <v>447.66793046230509</v>
      </c>
      <c r="K651" s="5"/>
      <c r="L651" s="5">
        <v>5.9</v>
      </c>
      <c r="M651" s="2" t="s">
        <v>191</v>
      </c>
      <c r="N651" s="5"/>
      <c r="O651" s="5"/>
      <c r="P651" s="5"/>
      <c r="R651" s="5"/>
      <c r="S651" s="5"/>
      <c r="T651" s="2">
        <v>2</v>
      </c>
      <c r="U651" s="2" t="str">
        <f>IF(T651&lt;=1, "1",IF(AND(T651&gt;1,T651&lt;4), "2-3", "+4"))</f>
        <v>2-3</v>
      </c>
      <c r="V651" s="5"/>
      <c r="W651" s="6" t="s">
        <v>1798</v>
      </c>
    </row>
    <row r="652" spans="1:23" x14ac:dyDescent="0.15">
      <c r="A652" s="2" t="s">
        <v>97</v>
      </c>
      <c r="B652" s="2" t="s">
        <v>3933</v>
      </c>
      <c r="C652" s="2" t="s">
        <v>3481</v>
      </c>
      <c r="D652" s="2" t="s">
        <v>498</v>
      </c>
      <c r="E652" s="1"/>
      <c r="F652" s="2" t="s">
        <v>140</v>
      </c>
      <c r="G652" s="2">
        <v>43.71</v>
      </c>
      <c r="H652" s="2" t="str">
        <f t="shared" si="23"/>
        <v>W</v>
      </c>
      <c r="I652" s="5">
        <v>13.69</v>
      </c>
      <c r="J652" s="5">
        <f>0.00299*(I652*10)^2.439</f>
        <v>485.69004088908292</v>
      </c>
      <c r="K652" s="5"/>
      <c r="L652" s="5">
        <v>6.2</v>
      </c>
      <c r="M652" s="2" t="s">
        <v>191</v>
      </c>
      <c r="N652" s="5"/>
      <c r="O652" s="5"/>
      <c r="P652" s="5"/>
      <c r="R652" s="5"/>
      <c r="S652" s="5"/>
      <c r="T652" s="2">
        <v>2</v>
      </c>
      <c r="U652" s="2" t="str">
        <f>IF(T652&lt;=1, "1",IF(AND(T652&gt;1,T652&lt;4), "2-3", "+4"))</f>
        <v>2-3</v>
      </c>
      <c r="V652" s="5"/>
      <c r="W652" s="6" t="s">
        <v>1798</v>
      </c>
    </row>
    <row r="653" spans="1:23" x14ac:dyDescent="0.15">
      <c r="A653" s="1" t="s">
        <v>97</v>
      </c>
      <c r="B653" s="2" t="s">
        <v>3933</v>
      </c>
      <c r="C653" s="2" t="s">
        <v>3481</v>
      </c>
      <c r="D653" s="1" t="s">
        <v>1181</v>
      </c>
      <c r="E653" s="1"/>
      <c r="F653" s="1" t="s">
        <v>3613</v>
      </c>
      <c r="G653" s="1">
        <v>37.619999999999997</v>
      </c>
      <c r="H653" s="2" t="str">
        <f t="shared" si="23"/>
        <v>W</v>
      </c>
      <c r="I653" s="8">
        <v>11.65</v>
      </c>
      <c r="J653" s="8">
        <v>294.7</v>
      </c>
      <c r="K653" s="8"/>
      <c r="L653" s="8">
        <v>2.86</v>
      </c>
      <c r="M653" s="1" t="s">
        <v>191</v>
      </c>
      <c r="N653" s="8">
        <v>32.770000000000003</v>
      </c>
      <c r="O653" s="8">
        <v>19.420000000000002</v>
      </c>
      <c r="P653" s="8">
        <v>7.1923000000000004</v>
      </c>
      <c r="Q653" s="1" t="s">
        <v>376</v>
      </c>
      <c r="R653" s="8">
        <v>20.571999999999999</v>
      </c>
      <c r="S653" s="8">
        <v>6.98</v>
      </c>
      <c r="T653" s="1"/>
      <c r="U653" s="1"/>
      <c r="V653" s="8"/>
      <c r="W653" s="6" t="s">
        <v>3614</v>
      </c>
    </row>
    <row r="654" spans="1:23" x14ac:dyDescent="0.15">
      <c r="A654" s="1" t="s">
        <v>97</v>
      </c>
      <c r="B654" s="2" t="s">
        <v>3933</v>
      </c>
      <c r="C654" s="2" t="s">
        <v>3481</v>
      </c>
      <c r="D654" s="1" t="s">
        <v>1181</v>
      </c>
      <c r="E654" s="1"/>
      <c r="F654" s="1" t="s">
        <v>3613</v>
      </c>
      <c r="G654" s="1">
        <v>37.619999999999997</v>
      </c>
      <c r="H654" s="2" t="str">
        <f t="shared" si="23"/>
        <v>W</v>
      </c>
      <c r="I654" s="8">
        <v>13.03</v>
      </c>
      <c r="J654" s="8">
        <v>402.6</v>
      </c>
      <c r="K654" s="8"/>
      <c r="L654" s="8">
        <v>4.57</v>
      </c>
      <c r="M654" s="1" t="s">
        <v>191</v>
      </c>
      <c r="N654" s="8">
        <v>32.85</v>
      </c>
      <c r="O654" s="8">
        <v>19.47</v>
      </c>
      <c r="P654" s="8">
        <v>7.2380000000000004</v>
      </c>
      <c r="Q654" s="1" t="s">
        <v>376</v>
      </c>
      <c r="R654" s="8">
        <v>33.078000000000003</v>
      </c>
      <c r="S654" s="8">
        <v>8.2200000000000006</v>
      </c>
      <c r="T654" s="1"/>
      <c r="U654" s="1"/>
      <c r="V654" s="8"/>
      <c r="W654" s="6" t="s">
        <v>3614</v>
      </c>
    </row>
    <row r="655" spans="1:23" x14ac:dyDescent="0.15">
      <c r="A655" s="2" t="s">
        <v>97</v>
      </c>
      <c r="B655" s="2" t="s">
        <v>3933</v>
      </c>
      <c r="C655" s="2" t="s">
        <v>970</v>
      </c>
      <c r="D655" s="2" t="s">
        <v>512</v>
      </c>
      <c r="E655" s="1"/>
      <c r="F655" s="2" t="s">
        <v>1914</v>
      </c>
      <c r="G655" s="2">
        <v>39</v>
      </c>
      <c r="H655" s="2" t="str">
        <f t="shared" si="23"/>
        <v>W</v>
      </c>
      <c r="I655" s="5"/>
      <c r="J655" s="5"/>
      <c r="K655" s="5">
        <v>14</v>
      </c>
      <c r="L655" s="5">
        <v>9.1</v>
      </c>
      <c r="M655" s="2" t="s">
        <v>191</v>
      </c>
      <c r="N655" s="5">
        <v>39.96</v>
      </c>
      <c r="O655" s="5">
        <v>25.47</v>
      </c>
      <c r="P655" s="5">
        <v>12.8</v>
      </c>
      <c r="Q655" s="2" t="s">
        <v>18</v>
      </c>
      <c r="R655" s="5">
        <v>113.5</v>
      </c>
      <c r="S655" s="5">
        <v>11</v>
      </c>
      <c r="T655" s="2">
        <v>1</v>
      </c>
      <c r="U655" s="2" t="str">
        <f>IF(T655&lt;=1, "1",IF(AND(T655&gt;1,T655&lt;4), "2-3", "+4"))</f>
        <v>1</v>
      </c>
      <c r="V655" s="5">
        <f>S655*T655</f>
        <v>11</v>
      </c>
      <c r="W655" s="6" t="s">
        <v>3330</v>
      </c>
    </row>
    <row r="656" spans="1:23" x14ac:dyDescent="0.15">
      <c r="A656" s="2" t="s">
        <v>97</v>
      </c>
      <c r="B656" s="2" t="s">
        <v>3933</v>
      </c>
      <c r="C656" s="2" t="s">
        <v>970</v>
      </c>
      <c r="D656" s="2" t="s">
        <v>512</v>
      </c>
      <c r="E656" s="1"/>
      <c r="F656" s="2" t="s">
        <v>374</v>
      </c>
      <c r="G656" s="2" t="s">
        <v>374</v>
      </c>
      <c r="H656" s="2" t="str">
        <f t="shared" si="23"/>
        <v>C</v>
      </c>
      <c r="I656" s="5"/>
      <c r="J656" s="5"/>
      <c r="K656" s="5"/>
      <c r="L656" s="5">
        <v>6.36</v>
      </c>
      <c r="M656" s="2" t="s">
        <v>191</v>
      </c>
      <c r="N656" s="5">
        <v>40</v>
      </c>
      <c r="O656" s="5">
        <v>21.5</v>
      </c>
      <c r="P656" s="5">
        <v>11.02</v>
      </c>
      <c r="Q656" s="2" t="s">
        <v>376</v>
      </c>
      <c r="R656" s="5">
        <v>70.06</v>
      </c>
      <c r="S656" s="5"/>
      <c r="V656" s="5"/>
      <c r="W656" s="6" t="s">
        <v>2367</v>
      </c>
    </row>
    <row r="657" spans="1:23" x14ac:dyDescent="0.15">
      <c r="A657" s="2" t="s">
        <v>97</v>
      </c>
      <c r="B657" s="2" t="s">
        <v>3933</v>
      </c>
      <c r="C657" s="2" t="s">
        <v>970</v>
      </c>
      <c r="D657" s="2" t="s">
        <v>512</v>
      </c>
      <c r="E657" s="1"/>
      <c r="F657" s="2" t="s">
        <v>3369</v>
      </c>
      <c r="G657" s="2">
        <v>45.5</v>
      </c>
      <c r="H657" s="2" t="str">
        <f t="shared" si="23"/>
        <v>W</v>
      </c>
      <c r="I657" s="5">
        <v>20.3</v>
      </c>
      <c r="J657" s="5">
        <v>1170</v>
      </c>
      <c r="K657" s="5">
        <v>17.5</v>
      </c>
      <c r="L657" s="5">
        <v>8.8000000000000007</v>
      </c>
      <c r="M657" s="2" t="s">
        <v>191</v>
      </c>
      <c r="N657" s="5">
        <v>35.1</v>
      </c>
      <c r="O657" s="5">
        <v>23</v>
      </c>
      <c r="P657" s="5">
        <v>10.83</v>
      </c>
      <c r="Q657" s="2" t="s">
        <v>18</v>
      </c>
      <c r="R657" s="5">
        <v>96</v>
      </c>
      <c r="S657" s="5">
        <v>8.2100000000000009</v>
      </c>
      <c r="V657" s="5"/>
      <c r="W657" s="6" t="s">
        <v>1956</v>
      </c>
    </row>
    <row r="658" spans="1:23" x14ac:dyDescent="0.15">
      <c r="A658" s="1" t="s">
        <v>97</v>
      </c>
      <c r="B658" s="2" t="s">
        <v>3933</v>
      </c>
      <c r="C658" s="1" t="s">
        <v>970</v>
      </c>
      <c r="D658" s="1" t="s">
        <v>512</v>
      </c>
      <c r="E658" s="1"/>
      <c r="F658" s="1" t="s">
        <v>890</v>
      </c>
      <c r="G658" s="1">
        <v>41.13</v>
      </c>
      <c r="H658" s="1" t="s">
        <v>3887</v>
      </c>
      <c r="I658" s="8">
        <v>17.09</v>
      </c>
      <c r="J658" s="8">
        <v>848.37</v>
      </c>
      <c r="K658" s="8"/>
      <c r="L658" s="8">
        <v>8.5</v>
      </c>
      <c r="M658" s="8" t="s">
        <v>191</v>
      </c>
      <c r="N658" s="8">
        <v>36.200000000000003</v>
      </c>
      <c r="O658" s="8">
        <v>23.3</v>
      </c>
      <c r="P658" s="8">
        <v>11.7</v>
      </c>
      <c r="Q658" s="1" t="s">
        <v>18</v>
      </c>
      <c r="R658" s="8">
        <v>99.45</v>
      </c>
      <c r="S658" s="8">
        <v>11.72</v>
      </c>
      <c r="T658" s="1">
        <v>1</v>
      </c>
      <c r="U658" s="2" t="str">
        <f>IF(T658&lt;=1, "1",IF(AND(T658&gt;1,T658&lt;4), "2-3", "+4"))</f>
        <v>1</v>
      </c>
      <c r="V658" s="8">
        <v>11.72</v>
      </c>
      <c r="W658" s="6" t="s">
        <v>3897</v>
      </c>
    </row>
    <row r="659" spans="1:23" x14ac:dyDescent="0.15">
      <c r="A659" s="2" t="s">
        <v>97</v>
      </c>
      <c r="B659" s="2" t="s">
        <v>3933</v>
      </c>
      <c r="C659" s="2" t="s">
        <v>970</v>
      </c>
      <c r="D659" s="2" t="s">
        <v>512</v>
      </c>
      <c r="E659" s="1"/>
      <c r="F659" s="2" t="s">
        <v>509</v>
      </c>
      <c r="G659" s="2">
        <v>43.74</v>
      </c>
      <c r="H659" s="2" t="str">
        <f>IF(G659="captive","C","W")</f>
        <v>W</v>
      </c>
      <c r="I659" s="5">
        <v>19.829999999999998</v>
      </c>
      <c r="J659" s="5">
        <f xml:space="preserve"> 12.33*(I659*10) - 1376.48</f>
        <v>1068.5589999999997</v>
      </c>
      <c r="K659" s="5"/>
      <c r="L659" s="5">
        <v>11</v>
      </c>
      <c r="M659" s="2" t="s">
        <v>191</v>
      </c>
      <c r="N659" s="5">
        <v>42.7</v>
      </c>
      <c r="O659" s="5">
        <v>24.6</v>
      </c>
      <c r="P659" s="5">
        <v>14.33</v>
      </c>
      <c r="Q659" s="2" t="s">
        <v>376</v>
      </c>
      <c r="R659" s="5">
        <v>157.66</v>
      </c>
      <c r="S659" s="5">
        <f>(R659/J659)*100</f>
        <v>14.754449684107291</v>
      </c>
      <c r="V659" s="5"/>
      <c r="W659" s="6" t="s">
        <v>2227</v>
      </c>
    </row>
    <row r="660" spans="1:23" x14ac:dyDescent="0.15">
      <c r="A660" s="1" t="s">
        <v>97</v>
      </c>
      <c r="B660" s="2" t="s">
        <v>3933</v>
      </c>
      <c r="C660" s="1" t="s">
        <v>970</v>
      </c>
      <c r="D660" s="1" t="s">
        <v>512</v>
      </c>
      <c r="E660" s="1"/>
      <c r="F660" s="1" t="s">
        <v>2265</v>
      </c>
      <c r="G660" s="1">
        <v>46</v>
      </c>
      <c r="H660" s="1" t="s">
        <v>3887</v>
      </c>
      <c r="I660" s="8">
        <v>19.899999999999999</v>
      </c>
      <c r="J660" s="8">
        <v>1099</v>
      </c>
      <c r="K660" s="8">
        <v>14</v>
      </c>
      <c r="L660" s="8">
        <v>9.1999999999999993</v>
      </c>
      <c r="M660" s="8" t="s">
        <v>191</v>
      </c>
      <c r="N660" s="8"/>
      <c r="O660" s="8"/>
      <c r="P660" s="8"/>
      <c r="Q660" s="1"/>
      <c r="R660" s="8"/>
      <c r="S660" s="8"/>
      <c r="T660" s="1">
        <v>1</v>
      </c>
      <c r="U660" s="2" t="str">
        <f>IF(T660&lt;=1, "1",IF(AND(T660&gt;1,T660&lt;4), "2-3", "+4"))</f>
        <v>1</v>
      </c>
      <c r="V660" s="8"/>
      <c r="W660" s="6" t="s">
        <v>3896</v>
      </c>
    </row>
    <row r="661" spans="1:23" x14ac:dyDescent="0.15">
      <c r="A661" s="2" t="s">
        <v>97</v>
      </c>
      <c r="B661" s="2" t="s">
        <v>3933</v>
      </c>
      <c r="C661" s="2" t="s">
        <v>970</v>
      </c>
      <c r="D661" s="2" t="s">
        <v>512</v>
      </c>
      <c r="E661" s="1"/>
      <c r="F661" s="2" t="s">
        <v>77</v>
      </c>
      <c r="G661" s="2">
        <v>46.07</v>
      </c>
      <c r="H661" s="2" t="str">
        <f>IF(G661="captive","C","W")</f>
        <v>W</v>
      </c>
      <c r="I661" s="5">
        <v>19.399999999999999</v>
      </c>
      <c r="J661" s="5">
        <f xml:space="preserve"> 12.33*(I661*10) - 1376.48</f>
        <v>1015.54</v>
      </c>
      <c r="K661" s="5"/>
      <c r="L661" s="5">
        <v>13</v>
      </c>
      <c r="M661" s="2" t="s">
        <v>191</v>
      </c>
      <c r="N661" s="5">
        <v>34</v>
      </c>
      <c r="O661" s="5"/>
      <c r="P661" s="5">
        <f xml:space="preserve"> 0.5053*N661 - 7.3893</f>
        <v>9.7908999999999988</v>
      </c>
      <c r="Q661" s="2" t="s">
        <v>376</v>
      </c>
      <c r="R661" s="5">
        <f>P661*L661</f>
        <v>127.28169999999999</v>
      </c>
      <c r="S661" s="5">
        <f>(R661/J661)*100</f>
        <v>12.533400949248675</v>
      </c>
      <c r="V661" s="5"/>
      <c r="W661" s="6" t="s">
        <v>3425</v>
      </c>
    </row>
    <row r="662" spans="1:23" x14ac:dyDescent="0.15">
      <c r="A662" s="2" t="s">
        <v>97</v>
      </c>
      <c r="B662" s="2" t="s">
        <v>3933</v>
      </c>
      <c r="C662" s="2" t="s">
        <v>970</v>
      </c>
      <c r="D662" s="2" t="s">
        <v>512</v>
      </c>
      <c r="E662" s="1"/>
      <c r="F662" s="2" t="s">
        <v>3909</v>
      </c>
      <c r="G662" s="2">
        <v>46.1</v>
      </c>
      <c r="H662" s="2" t="str">
        <f>IF(G662="captive","C","W")</f>
        <v>W</v>
      </c>
      <c r="I662" s="5">
        <v>18.2</v>
      </c>
      <c r="J662" s="5">
        <v>972.7</v>
      </c>
      <c r="K662" s="5"/>
      <c r="L662" s="5">
        <f>R662/P662</f>
        <v>10.359492481203006</v>
      </c>
      <c r="M662" s="2" t="s">
        <v>191</v>
      </c>
      <c r="N662" s="5">
        <v>34</v>
      </c>
      <c r="O662" s="5">
        <v>23.5</v>
      </c>
      <c r="P662" s="5">
        <v>10.64</v>
      </c>
      <c r="Q662" s="2" t="s">
        <v>376</v>
      </c>
      <c r="R662" s="5">
        <v>110.22499999999999</v>
      </c>
      <c r="S662" s="5">
        <v>11.33</v>
      </c>
      <c r="T662" s="2">
        <v>1</v>
      </c>
      <c r="U662" s="2" t="str">
        <f>IF(T662&lt;=1, "1",IF(AND(T662&gt;1,T662&lt;4), "2-3", "+4"))</f>
        <v>1</v>
      </c>
      <c r="V662" s="5">
        <v>11.33</v>
      </c>
      <c r="W662" s="6" t="s">
        <v>3910</v>
      </c>
    </row>
    <row r="663" spans="1:23" x14ac:dyDescent="0.15">
      <c r="A663" s="2" t="s">
        <v>97</v>
      </c>
      <c r="B663" s="2" t="s">
        <v>3933</v>
      </c>
      <c r="C663" s="2" t="s">
        <v>970</v>
      </c>
      <c r="D663" s="2" t="s">
        <v>512</v>
      </c>
      <c r="E663" s="1"/>
      <c r="F663" s="2" t="s">
        <v>374</v>
      </c>
      <c r="G663" s="2" t="s">
        <v>374</v>
      </c>
      <c r="H663" s="2" t="str">
        <f>IF(G663="captive","C","W")</f>
        <v>C</v>
      </c>
      <c r="I663" s="5"/>
      <c r="J663" s="5"/>
      <c r="K663" s="5"/>
      <c r="L663" s="5">
        <v>6.3</v>
      </c>
      <c r="M663" s="5" t="s">
        <v>191</v>
      </c>
      <c r="N663" s="5">
        <v>37.799999999999997</v>
      </c>
      <c r="O663" s="5">
        <v>23.4</v>
      </c>
      <c r="P663" s="5">
        <v>12.5</v>
      </c>
      <c r="Q663" s="2" t="s">
        <v>18</v>
      </c>
      <c r="R663" s="5">
        <v>78.75</v>
      </c>
      <c r="S663" s="5"/>
      <c r="V663" s="5"/>
      <c r="W663" s="6" t="s">
        <v>2246</v>
      </c>
    </row>
    <row r="664" spans="1:23" x14ac:dyDescent="0.15">
      <c r="A664" s="2" t="s">
        <v>97</v>
      </c>
      <c r="B664" s="2" t="s">
        <v>3933</v>
      </c>
      <c r="C664" s="2" t="s">
        <v>970</v>
      </c>
      <c r="D664" s="2" t="s">
        <v>512</v>
      </c>
      <c r="E664" s="1"/>
      <c r="F664" s="2" t="s">
        <v>5163</v>
      </c>
      <c r="G664" s="2">
        <v>45.12</v>
      </c>
      <c r="H664" s="2" t="s">
        <v>3887</v>
      </c>
      <c r="I664" s="5">
        <v>18.8</v>
      </c>
      <c r="J664" s="5">
        <v>901</v>
      </c>
      <c r="K664" s="5"/>
      <c r="L664" s="5">
        <v>8.1</v>
      </c>
      <c r="M664" s="5" t="s">
        <v>191</v>
      </c>
      <c r="N664" s="5">
        <v>34</v>
      </c>
      <c r="O664" s="5">
        <v>22</v>
      </c>
      <c r="P664" s="5">
        <v>9.9</v>
      </c>
      <c r="Q664" s="2" t="s">
        <v>18</v>
      </c>
      <c r="R664" s="5">
        <v>79.3</v>
      </c>
      <c r="S664" s="5">
        <v>8.8000000000000007</v>
      </c>
      <c r="V664" s="5"/>
      <c r="W664" s="6" t="s">
        <v>5162</v>
      </c>
    </row>
    <row r="665" spans="1:23" x14ac:dyDescent="0.15">
      <c r="A665" s="2" t="s">
        <v>97</v>
      </c>
      <c r="B665" s="2" t="s">
        <v>3933</v>
      </c>
      <c r="C665" s="2" t="s">
        <v>970</v>
      </c>
      <c r="D665" s="2" t="s">
        <v>512</v>
      </c>
      <c r="E665" s="1"/>
      <c r="F665" s="2" t="s">
        <v>5164</v>
      </c>
      <c r="G665" s="2">
        <v>44.45</v>
      </c>
      <c r="H665" s="2" t="s">
        <v>3887</v>
      </c>
      <c r="I665" s="5">
        <v>18.5</v>
      </c>
      <c r="J665" s="5">
        <v>957.5</v>
      </c>
      <c r="K665" s="5"/>
      <c r="L665" s="5">
        <v>8.8000000000000007</v>
      </c>
      <c r="M665" s="5" t="s">
        <v>191</v>
      </c>
      <c r="N665" s="5">
        <v>35.299999999999997</v>
      </c>
      <c r="O665" s="5">
        <v>23.2</v>
      </c>
      <c r="P665" s="5">
        <v>11.1</v>
      </c>
      <c r="Q665" s="2" t="s">
        <v>18</v>
      </c>
      <c r="R665" s="5">
        <v>98.3</v>
      </c>
      <c r="S665" s="5">
        <v>10.27</v>
      </c>
      <c r="V665" s="5"/>
      <c r="W665" s="6" t="s">
        <v>5162</v>
      </c>
    </row>
    <row r="666" spans="1:23" x14ac:dyDescent="0.15">
      <c r="A666" s="1" t="s">
        <v>97</v>
      </c>
      <c r="B666" s="2" t="s">
        <v>3933</v>
      </c>
      <c r="C666" s="1" t="s">
        <v>970</v>
      </c>
      <c r="D666" s="1" t="s">
        <v>512</v>
      </c>
      <c r="E666" s="1"/>
      <c r="F666" s="1" t="s">
        <v>3899</v>
      </c>
      <c r="G666" s="1">
        <v>42</v>
      </c>
      <c r="H666" s="1" t="s">
        <v>3887</v>
      </c>
      <c r="I666" s="8">
        <v>17.469000000000001</v>
      </c>
      <c r="J666" s="8">
        <v>889.78</v>
      </c>
      <c r="K666" s="8">
        <v>12</v>
      </c>
      <c r="L666" s="8">
        <v>7.17</v>
      </c>
      <c r="M666" s="8" t="s">
        <v>191</v>
      </c>
      <c r="N666" s="8">
        <v>34.67</v>
      </c>
      <c r="O666" s="8">
        <v>21.64</v>
      </c>
      <c r="P666" s="8">
        <v>9.4</v>
      </c>
      <c r="Q666" s="1" t="s">
        <v>376</v>
      </c>
      <c r="R666" s="8">
        <v>67.397999999999996</v>
      </c>
      <c r="S666" s="8">
        <v>7.57</v>
      </c>
      <c r="T666" s="1">
        <v>1</v>
      </c>
      <c r="U666" s="2" t="str">
        <f>IF(T666&lt;=1, "1",IF(AND(T666&gt;1,T666&lt;4), "2-3", "+4"))</f>
        <v>1</v>
      </c>
      <c r="V666" s="8">
        <v>7.57</v>
      </c>
      <c r="W666" s="6" t="s">
        <v>3900</v>
      </c>
    </row>
    <row r="667" spans="1:23" x14ac:dyDescent="0.15">
      <c r="A667" s="1" t="s">
        <v>97</v>
      </c>
      <c r="B667" s="2" t="s">
        <v>3933</v>
      </c>
      <c r="C667" s="1" t="s">
        <v>970</v>
      </c>
      <c r="D667" s="1" t="s">
        <v>512</v>
      </c>
      <c r="E667" s="1"/>
      <c r="F667" s="1" t="s">
        <v>907</v>
      </c>
      <c r="G667" s="1">
        <v>41</v>
      </c>
      <c r="H667" s="1" t="s">
        <v>3887</v>
      </c>
      <c r="I667" s="8">
        <v>17.986000000000001</v>
      </c>
      <c r="J667" s="8">
        <v>947.99</v>
      </c>
      <c r="K667" s="8">
        <v>14</v>
      </c>
      <c r="L667" s="8">
        <v>9.2899999999999991</v>
      </c>
      <c r="M667" s="8" t="s">
        <v>191</v>
      </c>
      <c r="N667" s="8">
        <v>37</v>
      </c>
      <c r="O667" s="8">
        <v>23.3</v>
      </c>
      <c r="P667" s="8">
        <v>11.457000000000001</v>
      </c>
      <c r="Q667" s="1" t="s">
        <v>376</v>
      </c>
      <c r="R667" s="8">
        <v>106.44</v>
      </c>
      <c r="S667" s="8">
        <v>11.23</v>
      </c>
      <c r="T667" s="1">
        <v>1</v>
      </c>
      <c r="U667" s="2" t="str">
        <f>IF(T667&lt;=1, "1",IF(AND(T667&gt;1,T667&lt;4), "2-3", "+4"))</f>
        <v>1</v>
      </c>
      <c r="V667" s="8">
        <v>11.23</v>
      </c>
      <c r="W667" s="6" t="s">
        <v>3900</v>
      </c>
    </row>
    <row r="668" spans="1:23" x14ac:dyDescent="0.15">
      <c r="A668" s="2" t="s">
        <v>97</v>
      </c>
      <c r="B668" s="2" t="s">
        <v>3933</v>
      </c>
      <c r="C668" s="2" t="s">
        <v>970</v>
      </c>
      <c r="D668" s="2" t="s">
        <v>512</v>
      </c>
      <c r="E668" s="1"/>
      <c r="F668" s="2" t="s">
        <v>2267</v>
      </c>
      <c r="H668" s="2" t="s">
        <v>3887</v>
      </c>
      <c r="I668" s="5">
        <v>17.2</v>
      </c>
      <c r="J668" s="5">
        <f xml:space="preserve"> 12.33*(I668*10) - 1376.48</f>
        <v>744.2800000000002</v>
      </c>
      <c r="K668" s="5"/>
      <c r="L668" s="5">
        <v>7.17</v>
      </c>
      <c r="M668" s="2" t="s">
        <v>191</v>
      </c>
      <c r="N668" s="5"/>
      <c r="O668" s="5"/>
      <c r="P668" s="5"/>
      <c r="R668" s="5"/>
      <c r="S668" s="5"/>
      <c r="V668" s="5"/>
      <c r="W668" s="6" t="s">
        <v>2449</v>
      </c>
    </row>
    <row r="669" spans="1:23" x14ac:dyDescent="0.15">
      <c r="A669" s="2" t="s">
        <v>97</v>
      </c>
      <c r="B669" s="2" t="s">
        <v>3933</v>
      </c>
      <c r="C669" s="2" t="s">
        <v>970</v>
      </c>
      <c r="D669" s="2" t="s">
        <v>512</v>
      </c>
      <c r="E669" s="1"/>
      <c r="F669" s="2" t="s">
        <v>107</v>
      </c>
      <c r="H669" s="2" t="s">
        <v>3887</v>
      </c>
      <c r="I669" s="5">
        <v>17.98</v>
      </c>
      <c r="J669" s="5">
        <f xml:space="preserve"> 12.33*(I669*10) - 1376.48</f>
        <v>840.45400000000018</v>
      </c>
      <c r="K669" s="5"/>
      <c r="L669" s="5"/>
      <c r="M669" s="2" t="s">
        <v>191</v>
      </c>
      <c r="N669" s="5">
        <v>36.4</v>
      </c>
      <c r="O669" s="5">
        <v>23.7</v>
      </c>
      <c r="P669" s="5">
        <f xml:space="preserve"> (0.325*N669) + (0.787*O669) - 18.905</f>
        <v>11.576900000000002</v>
      </c>
      <c r="Q669" s="2" t="s">
        <v>376</v>
      </c>
      <c r="R669" s="5"/>
      <c r="S669" s="5"/>
      <c r="V669" s="5"/>
      <c r="W669" s="6" t="s">
        <v>2221</v>
      </c>
    </row>
    <row r="670" spans="1:23" ht="12.75" customHeight="1" x14ac:dyDescent="0.15">
      <c r="A670" s="2" t="s">
        <v>97</v>
      </c>
      <c r="B670" s="2" t="s">
        <v>3933</v>
      </c>
      <c r="C670" s="2" t="s">
        <v>970</v>
      </c>
      <c r="D670" s="2" t="s">
        <v>512</v>
      </c>
      <c r="E670" s="1"/>
      <c r="F670" s="2" t="s">
        <v>890</v>
      </c>
      <c r="G670" s="2">
        <v>40.85</v>
      </c>
      <c r="H670" s="2" t="str">
        <f t="shared" ref="H670:H673" si="24">IF(G670="captive","C","W")</f>
        <v>W</v>
      </c>
      <c r="I670" s="5">
        <v>16.829999999999998</v>
      </c>
      <c r="J670" s="5">
        <f xml:space="preserve"> 12.33*(I670*10) - 1376.48</f>
        <v>698.65899999999965</v>
      </c>
      <c r="K670" s="5"/>
      <c r="L670" s="5">
        <v>8</v>
      </c>
      <c r="M670" s="2" t="s">
        <v>191</v>
      </c>
      <c r="N670" s="5"/>
      <c r="O670" s="5"/>
      <c r="P670" s="5"/>
      <c r="R670" s="5"/>
      <c r="S670" s="5"/>
      <c r="V670" s="5"/>
      <c r="W670" s="6" t="s">
        <v>3426</v>
      </c>
    </row>
    <row r="671" spans="1:23" ht="12.75" customHeight="1" x14ac:dyDescent="0.15">
      <c r="A671" s="2" t="s">
        <v>97</v>
      </c>
      <c r="B671" s="2" t="s">
        <v>3933</v>
      </c>
      <c r="C671" s="2" t="s">
        <v>970</v>
      </c>
      <c r="D671" s="2" t="s">
        <v>512</v>
      </c>
      <c r="E671" s="1"/>
      <c r="F671" s="2" t="s">
        <v>1913</v>
      </c>
      <c r="G671" s="2">
        <v>45</v>
      </c>
      <c r="H671" s="2" t="str">
        <f t="shared" si="24"/>
        <v>W</v>
      </c>
      <c r="I671" s="5"/>
      <c r="J671" s="5"/>
      <c r="K671" s="5"/>
      <c r="L671" s="5">
        <v>8.1999999999999993</v>
      </c>
      <c r="M671" s="2" t="s">
        <v>191</v>
      </c>
      <c r="N671" s="5"/>
      <c r="O671" s="5"/>
      <c r="P671" s="5"/>
      <c r="R671" s="5"/>
      <c r="S671" s="5"/>
      <c r="T671" s="2">
        <v>1</v>
      </c>
      <c r="U671" s="2" t="str">
        <f>IF(T671&lt;=1, "1",IF(AND(T671&gt;1,T671&lt;4), "2-3", "+4"))</f>
        <v>1</v>
      </c>
      <c r="V671" s="5"/>
      <c r="W671" s="6" t="s">
        <v>3211</v>
      </c>
    </row>
    <row r="672" spans="1:23" ht="12.75" customHeight="1" x14ac:dyDescent="0.15">
      <c r="A672" s="2" t="s">
        <v>97</v>
      </c>
      <c r="B672" s="2" t="s">
        <v>3933</v>
      </c>
      <c r="C672" s="2" t="s">
        <v>970</v>
      </c>
      <c r="D672" s="2" t="s">
        <v>512</v>
      </c>
      <c r="E672" s="1"/>
      <c r="F672" s="2" t="s">
        <v>145</v>
      </c>
      <c r="G672" s="2">
        <v>45.5</v>
      </c>
      <c r="H672" s="2" t="str">
        <f t="shared" si="24"/>
        <v>W</v>
      </c>
      <c r="I672" s="5">
        <v>20.5</v>
      </c>
      <c r="J672" s="5">
        <f xml:space="preserve"> 12.33*(I672*10) - 1376.48</f>
        <v>1151.17</v>
      </c>
      <c r="K672" s="5"/>
      <c r="L672" s="5">
        <v>9.61</v>
      </c>
      <c r="M672" s="2" t="s">
        <v>191</v>
      </c>
      <c r="N672" s="5"/>
      <c r="O672" s="5"/>
      <c r="P672" s="5">
        <v>11.5</v>
      </c>
      <c r="Q672" s="2" t="s">
        <v>18</v>
      </c>
      <c r="R672" s="5">
        <f>P672*L672</f>
        <v>110.51499999999999</v>
      </c>
      <c r="S672" s="5">
        <f>(R672/J672)*100</f>
        <v>9.6002328066228255</v>
      </c>
      <c r="V672" s="5"/>
      <c r="W672" s="6" t="s">
        <v>1802</v>
      </c>
    </row>
    <row r="673" spans="1:23" ht="12.75" customHeight="1" x14ac:dyDescent="0.15">
      <c r="A673" s="2" t="s">
        <v>97</v>
      </c>
      <c r="B673" s="2" t="s">
        <v>3933</v>
      </c>
      <c r="C673" s="2" t="s">
        <v>970</v>
      </c>
      <c r="D673" s="2" t="s">
        <v>512</v>
      </c>
      <c r="E673" s="1"/>
      <c r="F673" s="2" t="s">
        <v>158</v>
      </c>
      <c r="G673" s="2">
        <v>44.02</v>
      </c>
      <c r="H673" s="2" t="str">
        <f t="shared" si="24"/>
        <v>W</v>
      </c>
      <c r="I673" s="5">
        <v>18.7</v>
      </c>
      <c r="J673" s="5">
        <f xml:space="preserve"> 12.33*(I673*10) - 1376.48</f>
        <v>929.23</v>
      </c>
      <c r="K673" s="5">
        <v>11</v>
      </c>
      <c r="L673" s="5"/>
      <c r="M673" s="2" t="s">
        <v>191</v>
      </c>
      <c r="N673" s="5"/>
      <c r="O673" s="5"/>
      <c r="P673" s="5"/>
      <c r="R673" s="5"/>
      <c r="S673" s="5"/>
      <c r="V673" s="5"/>
      <c r="W673" s="6" t="s">
        <v>3212</v>
      </c>
    </row>
    <row r="674" spans="1:23" ht="12.75" customHeight="1" x14ac:dyDescent="0.15">
      <c r="A674" s="1" t="s">
        <v>97</v>
      </c>
      <c r="B674" s="2" t="s">
        <v>3933</v>
      </c>
      <c r="C674" s="1" t="s">
        <v>970</v>
      </c>
      <c r="D674" s="1" t="s">
        <v>512</v>
      </c>
      <c r="E674" s="1"/>
      <c r="F674" s="1" t="s">
        <v>2267</v>
      </c>
      <c r="G674" s="1">
        <v>41.94</v>
      </c>
      <c r="H674" s="1" t="s">
        <v>3887</v>
      </c>
      <c r="I674" s="8">
        <v>17.149999999999999</v>
      </c>
      <c r="J674" s="8">
        <v>711.4</v>
      </c>
      <c r="K674" s="8"/>
      <c r="L674" s="8">
        <v>7.8</v>
      </c>
      <c r="M674" s="8" t="s">
        <v>191</v>
      </c>
      <c r="N674" s="8">
        <v>35.299999999999997</v>
      </c>
      <c r="O674" s="8">
        <v>22.5</v>
      </c>
      <c r="P674" s="8">
        <v>10.275</v>
      </c>
      <c r="Q674" s="1" t="s">
        <v>376</v>
      </c>
      <c r="R674" s="8">
        <v>80.144999999999996</v>
      </c>
      <c r="S674" s="8">
        <v>11.27</v>
      </c>
      <c r="T674" s="1">
        <v>1</v>
      </c>
      <c r="U674" s="2" t="str">
        <f>IF(T674&lt;=1, "1",IF(AND(T674&gt;1,T674&lt;4), "2-3", "+4"))</f>
        <v>1</v>
      </c>
      <c r="V674" s="8">
        <v>11.27</v>
      </c>
      <c r="W674" s="6" t="s">
        <v>3898</v>
      </c>
    </row>
    <row r="675" spans="1:23" ht="12.75" customHeight="1" x14ac:dyDescent="0.15">
      <c r="A675" s="2" t="s">
        <v>97</v>
      </c>
      <c r="B675" s="2" t="s">
        <v>3933</v>
      </c>
      <c r="C675" s="2" t="s">
        <v>970</v>
      </c>
      <c r="D675" s="2" t="s">
        <v>512</v>
      </c>
      <c r="E675" s="1"/>
      <c r="F675" s="2" t="s">
        <v>146</v>
      </c>
      <c r="G675" s="2">
        <v>46.6</v>
      </c>
      <c r="H675" s="2" t="str">
        <f t="shared" ref="H675:H683" si="25">IF(G675="captive","C","W")</f>
        <v>W</v>
      </c>
      <c r="I675" s="5">
        <v>20.100000000000001</v>
      </c>
      <c r="J675" s="5">
        <f xml:space="preserve"> 12.33*(I675*10) - 1376.48</f>
        <v>1101.8499999999999</v>
      </c>
      <c r="K675" s="5"/>
      <c r="L675" s="5">
        <f>AVERAGE(9.4,10.6)</f>
        <v>10</v>
      </c>
      <c r="M675" s="2" t="s">
        <v>191</v>
      </c>
      <c r="N675" s="5"/>
      <c r="O675" s="5"/>
      <c r="P675" s="5"/>
      <c r="R675" s="5"/>
      <c r="S675" s="5"/>
      <c r="V675" s="5"/>
      <c r="W675" s="6" t="s">
        <v>1955</v>
      </c>
    </row>
    <row r="676" spans="1:23" ht="12.75" customHeight="1" x14ac:dyDescent="0.15">
      <c r="A676" s="2" t="s">
        <v>97</v>
      </c>
      <c r="B676" s="2" t="s">
        <v>3933</v>
      </c>
      <c r="C676" s="2" t="s">
        <v>970</v>
      </c>
      <c r="D676" s="2" t="s">
        <v>513</v>
      </c>
      <c r="E676" s="1"/>
      <c r="F676" s="2" t="s">
        <v>147</v>
      </c>
      <c r="G676" s="2">
        <v>39.46</v>
      </c>
      <c r="H676" s="2" t="str">
        <f t="shared" si="25"/>
        <v>W</v>
      </c>
      <c r="I676" s="5">
        <v>9.15</v>
      </c>
      <c r="J676" s="5">
        <v>139.69999999999999</v>
      </c>
      <c r="K676" s="5"/>
      <c r="L676" s="5">
        <v>5</v>
      </c>
      <c r="M676" s="2" t="s">
        <v>191</v>
      </c>
      <c r="N676" s="5">
        <v>30.1</v>
      </c>
      <c r="O676" s="5">
        <v>15.58</v>
      </c>
      <c r="P676" s="5">
        <v>4.92</v>
      </c>
      <c r="Q676" s="2" t="s">
        <v>18</v>
      </c>
      <c r="R676" s="5">
        <v>24.6</v>
      </c>
      <c r="S676" s="5">
        <v>17.600000000000001</v>
      </c>
      <c r="V676" s="5"/>
      <c r="W676" s="6" t="s">
        <v>3240</v>
      </c>
    </row>
    <row r="677" spans="1:23" x14ac:dyDescent="0.15">
      <c r="A677" s="2" t="s">
        <v>97</v>
      </c>
      <c r="B677" s="2" t="s">
        <v>3933</v>
      </c>
      <c r="C677" s="2" t="s">
        <v>970</v>
      </c>
      <c r="D677" s="2" t="s">
        <v>513</v>
      </c>
      <c r="E677" s="1"/>
      <c r="F677" s="2" t="s">
        <v>147</v>
      </c>
      <c r="G677" s="2">
        <v>39</v>
      </c>
      <c r="H677" s="2" t="str">
        <f t="shared" si="25"/>
        <v>W</v>
      </c>
      <c r="I677" s="5">
        <v>9.4309999999999992</v>
      </c>
      <c r="J677" s="5">
        <v>132.1</v>
      </c>
      <c r="K677" s="5">
        <v>6</v>
      </c>
      <c r="L677" s="5">
        <v>4.5</v>
      </c>
      <c r="M677" s="2" t="s">
        <v>191</v>
      </c>
      <c r="N677" s="5">
        <v>30.01</v>
      </c>
      <c r="O677" s="5">
        <v>15.65</v>
      </c>
      <c r="P677" s="5">
        <v>4.8099999999999996</v>
      </c>
      <c r="Q677" s="2" t="s">
        <v>18</v>
      </c>
      <c r="R677" s="5">
        <f>P677*L677</f>
        <v>21.645</v>
      </c>
      <c r="S677" s="5">
        <f>(R677/J677)*100</f>
        <v>16.385314155942467</v>
      </c>
      <c r="T677" s="2">
        <v>1</v>
      </c>
      <c r="U677" s="2" t="str">
        <f>IF(T677&lt;=1, "1",IF(AND(T677&gt;1,T677&lt;4), "2-3", "+4"))</f>
        <v>1</v>
      </c>
      <c r="V677" s="5">
        <f>T677*S677</f>
        <v>16.385314155942467</v>
      </c>
      <c r="W677" s="6" t="s">
        <v>1803</v>
      </c>
    </row>
    <row r="678" spans="1:23" x14ac:dyDescent="0.15">
      <c r="A678" s="2" t="s">
        <v>97</v>
      </c>
      <c r="B678" s="2" t="s">
        <v>3933</v>
      </c>
      <c r="C678" s="2" t="s">
        <v>970</v>
      </c>
      <c r="D678" s="2" t="s">
        <v>513</v>
      </c>
      <c r="E678" s="1"/>
      <c r="F678" s="2" t="s">
        <v>148</v>
      </c>
      <c r="H678" s="2" t="str">
        <f t="shared" si="25"/>
        <v>W</v>
      </c>
      <c r="I678" s="5"/>
      <c r="J678" s="5"/>
      <c r="K678" s="5"/>
      <c r="L678" s="5">
        <v>3.52</v>
      </c>
      <c r="M678" s="2" t="s">
        <v>191</v>
      </c>
      <c r="N678" s="5"/>
      <c r="O678" s="5"/>
      <c r="P678" s="5"/>
      <c r="R678" s="5"/>
      <c r="S678" s="5"/>
      <c r="V678" s="5"/>
      <c r="W678" s="6" t="s">
        <v>1957</v>
      </c>
    </row>
    <row r="679" spans="1:23" x14ac:dyDescent="0.15">
      <c r="A679" s="2" t="s">
        <v>97</v>
      </c>
      <c r="B679" s="2" t="s">
        <v>3933</v>
      </c>
      <c r="C679" s="2" t="s">
        <v>970</v>
      </c>
      <c r="D679" s="2" t="s">
        <v>513</v>
      </c>
      <c r="E679" s="1"/>
      <c r="F679" s="2" t="s">
        <v>120</v>
      </c>
      <c r="G679" s="2">
        <v>40.049999999999997</v>
      </c>
      <c r="H679" s="2" t="str">
        <f t="shared" si="25"/>
        <v>W</v>
      </c>
      <c r="I679" s="5"/>
      <c r="J679" s="5"/>
      <c r="K679" s="5">
        <v>6</v>
      </c>
      <c r="L679" s="5">
        <v>6</v>
      </c>
      <c r="M679" s="2" t="s">
        <v>191</v>
      </c>
      <c r="N679" s="5"/>
      <c r="O679" s="5"/>
      <c r="P679" s="5"/>
      <c r="R679" s="5"/>
      <c r="S679" s="5"/>
      <c r="V679" s="5"/>
      <c r="W679" s="6" t="s">
        <v>3239</v>
      </c>
    </row>
    <row r="680" spans="1:23" x14ac:dyDescent="0.15">
      <c r="A680" s="2" t="s">
        <v>97</v>
      </c>
      <c r="B680" s="2" t="s">
        <v>3933</v>
      </c>
      <c r="C680" s="2" t="s">
        <v>970</v>
      </c>
      <c r="D680" s="2" t="s">
        <v>513</v>
      </c>
      <c r="E680" s="1"/>
      <c r="F680" s="2" t="s">
        <v>374</v>
      </c>
      <c r="G680" s="2" t="s">
        <v>374</v>
      </c>
      <c r="H680" s="2" t="str">
        <f t="shared" si="25"/>
        <v>C</v>
      </c>
      <c r="I680" s="5"/>
      <c r="J680" s="5"/>
      <c r="K680" s="5"/>
      <c r="L680" s="5">
        <v>4</v>
      </c>
      <c r="M680" s="2" t="s">
        <v>191</v>
      </c>
      <c r="N680" s="5">
        <v>32.700000000000003</v>
      </c>
      <c r="O680" s="5">
        <v>15.7</v>
      </c>
      <c r="P680" s="5">
        <v>5.17</v>
      </c>
      <c r="Q680" s="2" t="s">
        <v>376</v>
      </c>
      <c r="R680" s="5">
        <v>20.69</v>
      </c>
      <c r="S680" s="5"/>
      <c r="V680" s="5"/>
      <c r="W680" s="6" t="s">
        <v>3009</v>
      </c>
    </row>
    <row r="681" spans="1:23" x14ac:dyDescent="0.15">
      <c r="A681" s="2" t="s">
        <v>97</v>
      </c>
      <c r="B681" s="2" t="s">
        <v>3933</v>
      </c>
      <c r="C681" s="2" t="s">
        <v>970</v>
      </c>
      <c r="D681" s="2" t="s">
        <v>513</v>
      </c>
      <c r="E681" s="1"/>
      <c r="F681" s="2" t="s">
        <v>374</v>
      </c>
      <c r="G681" s="2" t="s">
        <v>374</v>
      </c>
      <c r="H681" s="2" t="str">
        <f t="shared" si="25"/>
        <v>C</v>
      </c>
      <c r="I681" s="5"/>
      <c r="J681" s="5"/>
      <c r="K681" s="5"/>
      <c r="L681" s="5">
        <v>6</v>
      </c>
      <c r="M681" s="2" t="s">
        <v>191</v>
      </c>
      <c r="N681" s="5"/>
      <c r="O681" s="5"/>
      <c r="P681" s="5"/>
      <c r="R681" s="5"/>
      <c r="S681" s="5"/>
      <c r="V681" s="5"/>
      <c r="W681" s="6" t="s">
        <v>3010</v>
      </c>
    </row>
    <row r="682" spans="1:23" x14ac:dyDescent="0.15">
      <c r="A682" s="2" t="s">
        <v>97</v>
      </c>
      <c r="B682" s="2" t="s">
        <v>3933</v>
      </c>
      <c r="C682" s="2" t="s">
        <v>970</v>
      </c>
      <c r="D682" s="2" t="s">
        <v>513</v>
      </c>
      <c r="E682" s="1"/>
      <c r="F682" s="2" t="s">
        <v>374</v>
      </c>
      <c r="G682" s="2" t="s">
        <v>374</v>
      </c>
      <c r="H682" s="2" t="str">
        <f t="shared" si="25"/>
        <v>C</v>
      </c>
      <c r="I682" s="5"/>
      <c r="J682" s="5"/>
      <c r="K682" s="5"/>
      <c r="L682" s="5">
        <v>3</v>
      </c>
      <c r="M682" s="2" t="s">
        <v>191</v>
      </c>
      <c r="N682" s="5">
        <v>32.1</v>
      </c>
      <c r="O682" s="5">
        <v>16</v>
      </c>
      <c r="P682" s="5">
        <v>5.2</v>
      </c>
      <c r="Q682" s="2" t="s">
        <v>18</v>
      </c>
      <c r="R682" s="5">
        <v>15.6</v>
      </c>
      <c r="S682" s="5"/>
      <c r="T682" s="2" t="s">
        <v>410</v>
      </c>
      <c r="U682" s="40" t="s">
        <v>4047</v>
      </c>
      <c r="V682" s="5"/>
      <c r="W682" s="6" t="s">
        <v>3427</v>
      </c>
    </row>
    <row r="683" spans="1:23" x14ac:dyDescent="0.15">
      <c r="A683" s="2" t="s">
        <v>97</v>
      </c>
      <c r="B683" s="2" t="s">
        <v>3933</v>
      </c>
      <c r="C683" s="2" t="s">
        <v>970</v>
      </c>
      <c r="D683" s="2" t="s">
        <v>513</v>
      </c>
      <c r="E683" s="1"/>
      <c r="F683" s="2" t="s">
        <v>374</v>
      </c>
      <c r="G683" s="2" t="s">
        <v>374</v>
      </c>
      <c r="H683" s="2" t="str">
        <f t="shared" si="25"/>
        <v>C</v>
      </c>
      <c r="I683" s="5"/>
      <c r="J683" s="5"/>
      <c r="K683" s="5"/>
      <c r="L683" s="5"/>
      <c r="M683" s="2" t="s">
        <v>191</v>
      </c>
      <c r="N683" s="5">
        <v>30.1</v>
      </c>
      <c r="O683" s="5">
        <v>15.9</v>
      </c>
      <c r="P683" s="5">
        <v>4.9000000000000004</v>
      </c>
      <c r="Q683" s="2" t="s">
        <v>18</v>
      </c>
      <c r="R683" s="5"/>
      <c r="S683" s="5"/>
      <c r="V683" s="5"/>
      <c r="W683" s="6" t="s">
        <v>2246</v>
      </c>
    </row>
    <row r="684" spans="1:23" x14ac:dyDescent="0.15">
      <c r="A684" s="2" t="s">
        <v>97</v>
      </c>
      <c r="B684" s="2" t="s">
        <v>3933</v>
      </c>
      <c r="C684" s="2" t="s">
        <v>970</v>
      </c>
      <c r="D684" s="2" t="s">
        <v>513</v>
      </c>
      <c r="E684" s="1"/>
      <c r="F684" s="2" t="s">
        <v>890</v>
      </c>
      <c r="H684" s="2" t="s">
        <v>3887</v>
      </c>
      <c r="I684" s="5"/>
      <c r="J684" s="5"/>
      <c r="K684" s="5">
        <v>4.5</v>
      </c>
      <c r="L684" s="5"/>
      <c r="N684" s="5"/>
      <c r="O684" s="5"/>
      <c r="P684" s="5"/>
      <c r="R684" s="5"/>
      <c r="S684" s="5"/>
      <c r="V684" s="5"/>
      <c r="W684" s="6" t="s">
        <v>4063</v>
      </c>
    </row>
    <row r="685" spans="1:23" x14ac:dyDescent="0.15">
      <c r="A685" s="2" t="s">
        <v>97</v>
      </c>
      <c r="B685" s="2" t="s">
        <v>3933</v>
      </c>
      <c r="C685" s="2" t="s">
        <v>970</v>
      </c>
      <c r="D685" s="2" t="s">
        <v>513</v>
      </c>
      <c r="E685" s="1"/>
      <c r="F685" s="2" t="s">
        <v>120</v>
      </c>
      <c r="G685" s="2">
        <v>40.229999999999997</v>
      </c>
      <c r="H685" s="2" t="str">
        <f t="shared" ref="H685:H714" si="26">IF(G685="captive","C","W")</f>
        <v>W</v>
      </c>
      <c r="I685" s="5">
        <v>8.67</v>
      </c>
      <c r="J685" s="5">
        <f xml:space="preserve"> 0.0002948*(I685*10)^2.8677</f>
        <v>106.45960366515079</v>
      </c>
      <c r="K685" s="5"/>
      <c r="L685" s="5">
        <v>3</v>
      </c>
      <c r="M685" s="2" t="s">
        <v>191</v>
      </c>
      <c r="N685" s="5">
        <v>29.7</v>
      </c>
      <c r="O685" s="5">
        <v>15</v>
      </c>
      <c r="P685" s="5">
        <f xml:space="preserve"> 0.159*N685 + 0.492*O685 - 7.75</f>
        <v>4.3522999999999996</v>
      </c>
      <c r="Q685" s="2" t="s">
        <v>376</v>
      </c>
      <c r="R685" s="5">
        <v>13.06</v>
      </c>
      <c r="S685" s="5">
        <f>(R685/J685)*100</f>
        <v>12.267563987066719</v>
      </c>
      <c r="V685" s="5"/>
      <c r="W685" s="6" t="s">
        <v>3011</v>
      </c>
    </row>
    <row r="686" spans="1:23" x14ac:dyDescent="0.15">
      <c r="A686" s="2" t="s">
        <v>97</v>
      </c>
      <c r="B686" s="2" t="s">
        <v>3933</v>
      </c>
      <c r="C686" s="2" t="s">
        <v>970</v>
      </c>
      <c r="D686" s="2" t="s">
        <v>513</v>
      </c>
      <c r="E686" s="1"/>
      <c r="F686" s="2" t="s">
        <v>107</v>
      </c>
      <c r="H686" s="2" t="s">
        <v>3887</v>
      </c>
      <c r="I686" s="5">
        <v>8.73</v>
      </c>
      <c r="J686" s="5">
        <v>108.2</v>
      </c>
      <c r="K686" s="5"/>
      <c r="L686" s="5">
        <v>3.5</v>
      </c>
      <c r="M686" s="2" t="s">
        <v>191</v>
      </c>
      <c r="N686" s="5"/>
      <c r="O686" s="5"/>
      <c r="P686" s="5"/>
      <c r="R686" s="5"/>
      <c r="S686" s="5"/>
      <c r="V686" s="5"/>
      <c r="W686" s="6" t="s">
        <v>2221</v>
      </c>
    </row>
    <row r="687" spans="1:23" x14ac:dyDescent="0.15">
      <c r="A687" s="2" t="s">
        <v>97</v>
      </c>
      <c r="B687" s="2" t="s">
        <v>3933</v>
      </c>
      <c r="C687" s="2" t="s">
        <v>970</v>
      </c>
      <c r="D687" s="2" t="s">
        <v>513</v>
      </c>
      <c r="E687" s="1"/>
      <c r="F687" s="2" t="s">
        <v>120</v>
      </c>
      <c r="G687" s="2">
        <v>40.340000000000003</v>
      </c>
      <c r="H687" s="2" t="str">
        <f t="shared" si="26"/>
        <v>W</v>
      </c>
      <c r="I687" s="5">
        <v>10.58</v>
      </c>
      <c r="J687" s="5">
        <f xml:space="preserve"> 0.0002948*(I687*10)^2.8677</f>
        <v>188.42782209517267</v>
      </c>
      <c r="K687" s="5"/>
      <c r="L687" s="5">
        <v>6</v>
      </c>
      <c r="M687" s="2" t="s">
        <v>191</v>
      </c>
      <c r="N687" s="5">
        <v>28.3</v>
      </c>
      <c r="O687" s="5">
        <v>15.4</v>
      </c>
      <c r="P687" s="5">
        <v>4.33</v>
      </c>
      <c r="Q687" s="2" t="s">
        <v>376</v>
      </c>
      <c r="R687" s="5">
        <v>25.96</v>
      </c>
      <c r="S687" s="5">
        <f>(R687/J687)*100</f>
        <v>13.777158654886914</v>
      </c>
      <c r="V687" s="5"/>
      <c r="W687" s="6" t="s">
        <v>3012</v>
      </c>
    </row>
    <row r="688" spans="1:23" x14ac:dyDescent="0.15">
      <c r="A688" s="2" t="s">
        <v>97</v>
      </c>
      <c r="B688" s="2" t="s">
        <v>3933</v>
      </c>
      <c r="C688" s="2" t="s">
        <v>970</v>
      </c>
      <c r="D688" s="2" t="s">
        <v>513</v>
      </c>
      <c r="E688" s="1"/>
      <c r="F688" s="2" t="s">
        <v>374</v>
      </c>
      <c r="G688" s="2" t="s">
        <v>374</v>
      </c>
      <c r="H688" s="2" t="str">
        <f t="shared" si="26"/>
        <v>C</v>
      </c>
      <c r="I688" s="5">
        <v>8.5</v>
      </c>
      <c r="J688" s="5">
        <v>118</v>
      </c>
      <c r="K688" s="5"/>
      <c r="L688" s="5">
        <v>3</v>
      </c>
      <c r="M688" s="2" t="s">
        <v>191</v>
      </c>
      <c r="N688" s="5">
        <v>31.3</v>
      </c>
      <c r="O688" s="5">
        <v>15.7</v>
      </c>
      <c r="P688" s="5">
        <f xml:space="preserve"> (0.159*N688) + (0.492*O688) - 7.75</f>
        <v>4.9511000000000003</v>
      </c>
      <c r="Q688" s="2" t="s">
        <v>376</v>
      </c>
      <c r="R688" s="5">
        <f>P688*L688</f>
        <v>14.853300000000001</v>
      </c>
      <c r="S688" s="5">
        <f>(R688/J688)*100</f>
        <v>12.587542372881359</v>
      </c>
      <c r="V688" s="5"/>
      <c r="W688" s="6" t="s">
        <v>2247</v>
      </c>
    </row>
    <row r="689" spans="1:23" x14ac:dyDescent="0.15">
      <c r="A689" s="2" t="s">
        <v>97</v>
      </c>
      <c r="B689" s="2" t="s">
        <v>3933</v>
      </c>
      <c r="C689" s="2" t="s">
        <v>970</v>
      </c>
      <c r="D689" s="2" t="s">
        <v>513</v>
      </c>
      <c r="E689" s="1"/>
      <c r="F689" s="2" t="s">
        <v>907</v>
      </c>
      <c r="G689" s="2">
        <v>42.42</v>
      </c>
      <c r="H689" s="2" t="str">
        <f t="shared" si="26"/>
        <v>W</v>
      </c>
      <c r="I689" s="5">
        <v>9</v>
      </c>
      <c r="J689" s="5">
        <f xml:space="preserve"> 0.0002948*(I689*10)^2.8677</f>
        <v>118.49737328485888</v>
      </c>
      <c r="K689" s="5"/>
      <c r="L689" s="5">
        <v>3</v>
      </c>
      <c r="M689" s="2" t="s">
        <v>191</v>
      </c>
      <c r="N689" s="5">
        <v>31</v>
      </c>
      <c r="O689" s="5">
        <v>16</v>
      </c>
      <c r="P689" s="5">
        <v>5.05</v>
      </c>
      <c r="Q689" s="2" t="s">
        <v>376</v>
      </c>
      <c r="R689" s="5">
        <v>15.15</v>
      </c>
      <c r="S689" s="5">
        <f>(R689/J689)*100</f>
        <v>12.785093525727802</v>
      </c>
      <c r="V689" s="5"/>
      <c r="W689" s="6" t="s">
        <v>3013</v>
      </c>
    </row>
    <row r="690" spans="1:23" x14ac:dyDescent="0.15">
      <c r="A690" s="2" t="s">
        <v>97</v>
      </c>
      <c r="B690" s="2" t="s">
        <v>3933</v>
      </c>
      <c r="C690" s="2" t="s">
        <v>970</v>
      </c>
      <c r="D690" s="2" t="s">
        <v>513</v>
      </c>
      <c r="E690" s="1"/>
      <c r="F690" s="2" t="s">
        <v>149</v>
      </c>
      <c r="H690" s="2" t="s">
        <v>3887</v>
      </c>
      <c r="I690" s="5"/>
      <c r="J690" s="5"/>
      <c r="K690" s="5"/>
      <c r="L690" s="5">
        <f>349/104</f>
        <v>3.3557692307692308</v>
      </c>
      <c r="M690" s="2" t="s">
        <v>191</v>
      </c>
      <c r="N690" s="5"/>
      <c r="O690" s="5"/>
      <c r="P690" s="5"/>
      <c r="R690" s="5"/>
      <c r="S690" s="5"/>
      <c r="V690" s="5"/>
      <c r="W690" s="6" t="s">
        <v>1958</v>
      </c>
    </row>
    <row r="691" spans="1:23" x14ac:dyDescent="0.15">
      <c r="A691" s="2" t="s">
        <v>97</v>
      </c>
      <c r="B691" s="2" t="s">
        <v>3933</v>
      </c>
      <c r="C691" s="2" t="s">
        <v>970</v>
      </c>
      <c r="D691" s="2" t="s">
        <v>513</v>
      </c>
      <c r="E691" s="1"/>
      <c r="F691" s="2" t="s">
        <v>2952</v>
      </c>
      <c r="G691" s="2">
        <v>40.450000000000003</v>
      </c>
      <c r="H691" s="2" t="str">
        <f t="shared" si="26"/>
        <v>W</v>
      </c>
      <c r="I691" s="5">
        <v>8.8000000000000007</v>
      </c>
      <c r="J691" s="5">
        <f xml:space="preserve"> 0.0002948*(I691*10)^2.8677</f>
        <v>111.10163191372078</v>
      </c>
      <c r="K691" s="5"/>
      <c r="L691" s="5">
        <v>3.5</v>
      </c>
      <c r="M691" s="2" t="s">
        <v>191</v>
      </c>
      <c r="N691" s="5">
        <v>32.36</v>
      </c>
      <c r="O691" s="5">
        <v>13.79</v>
      </c>
      <c r="P691" s="5">
        <v>4.18</v>
      </c>
      <c r="Q691" s="2" t="s">
        <v>376</v>
      </c>
      <c r="R691" s="5">
        <v>14.62</v>
      </c>
      <c r="S691" s="5">
        <f>(R691/J691)*100</f>
        <v>13.159122641289004</v>
      </c>
      <c r="V691" s="5"/>
      <c r="W691" s="6" t="s">
        <v>3014</v>
      </c>
    </row>
    <row r="692" spans="1:23" x14ac:dyDescent="0.15">
      <c r="A692" s="2" t="s">
        <v>97</v>
      </c>
      <c r="B692" s="2" t="s">
        <v>3932</v>
      </c>
      <c r="C692" s="2" t="s">
        <v>977</v>
      </c>
      <c r="D692" s="2" t="s">
        <v>546</v>
      </c>
      <c r="E692" s="1"/>
      <c r="F692" s="2" t="s">
        <v>69</v>
      </c>
      <c r="G692" s="2">
        <v>30.77</v>
      </c>
      <c r="H692" s="2" t="str">
        <f t="shared" si="26"/>
        <v>W</v>
      </c>
      <c r="I692" s="5">
        <v>27.26</v>
      </c>
      <c r="J692" s="5">
        <f xml:space="preserve"> 0.00011*272.6^3.037</f>
        <v>2742.1088861754497</v>
      </c>
      <c r="K692" s="5"/>
      <c r="L692" s="5">
        <v>6.5</v>
      </c>
      <c r="M692" s="2" t="s">
        <v>191</v>
      </c>
      <c r="N692" s="5">
        <v>37.1</v>
      </c>
      <c r="O692" s="5">
        <v>25.9</v>
      </c>
      <c r="P692" s="5">
        <v>14.42</v>
      </c>
      <c r="Q692" s="2" t="s">
        <v>376</v>
      </c>
      <c r="R692" s="5">
        <v>93.71</v>
      </c>
      <c r="S692" s="5">
        <f>(R692/J692)*100</f>
        <v>3.4174427015807458</v>
      </c>
      <c r="T692" s="2" t="s">
        <v>382</v>
      </c>
      <c r="U692" s="40" t="s">
        <v>395</v>
      </c>
      <c r="V692" s="5"/>
      <c r="W692" s="6" t="s">
        <v>2451</v>
      </c>
    </row>
    <row r="693" spans="1:23" x14ac:dyDescent="0.15">
      <c r="A693" s="2" t="s">
        <v>97</v>
      </c>
      <c r="B693" s="2" t="s">
        <v>3932</v>
      </c>
      <c r="C693" s="2" t="s">
        <v>977</v>
      </c>
      <c r="D693" s="2" t="s">
        <v>546</v>
      </c>
      <c r="E693" s="1"/>
      <c r="F693" s="2" t="s">
        <v>69</v>
      </c>
      <c r="G693" s="2">
        <v>29.9</v>
      </c>
      <c r="H693" s="2" t="str">
        <f t="shared" si="26"/>
        <v>W</v>
      </c>
      <c r="I693" s="5"/>
      <c r="J693" s="5"/>
      <c r="K693" s="5"/>
      <c r="L693" s="5">
        <v>8.5</v>
      </c>
      <c r="M693" s="2" t="s">
        <v>191</v>
      </c>
      <c r="N693" s="5"/>
      <c r="O693" s="5"/>
      <c r="P693" s="5"/>
      <c r="R693" s="5"/>
      <c r="S693" s="5"/>
      <c r="V693" s="5"/>
      <c r="W693" s="6" t="s">
        <v>2340</v>
      </c>
    </row>
    <row r="694" spans="1:23" x14ac:dyDescent="0.15">
      <c r="A694" s="2" t="s">
        <v>97</v>
      </c>
      <c r="B694" s="2" t="s">
        <v>3932</v>
      </c>
      <c r="C694" s="2" t="s">
        <v>977</v>
      </c>
      <c r="D694" s="2" t="s">
        <v>546</v>
      </c>
      <c r="E694" s="1"/>
      <c r="F694" s="2" t="s">
        <v>374</v>
      </c>
      <c r="G694" s="2" t="s">
        <v>374</v>
      </c>
      <c r="H694" s="2" t="str">
        <f t="shared" si="26"/>
        <v>C</v>
      </c>
      <c r="I694" s="5"/>
      <c r="J694" s="5"/>
      <c r="K694" s="5"/>
      <c r="L694" s="5">
        <v>3.38</v>
      </c>
      <c r="M694" s="2" t="s">
        <v>191</v>
      </c>
      <c r="N694" s="5"/>
      <c r="O694" s="5">
        <f>(P694+24.129)/1.4904</f>
        <v>26.341250670960818</v>
      </c>
      <c r="P694" s="5">
        <v>15.13</v>
      </c>
      <c r="Q694" s="2" t="s">
        <v>18</v>
      </c>
      <c r="R694" s="5">
        <v>51.14</v>
      </c>
      <c r="S694" s="5"/>
      <c r="T694" s="9">
        <f>MEDIAN(1,4)</f>
        <v>2.5</v>
      </c>
      <c r="U694" s="2" t="str">
        <f>IF(T694&lt;=1, "1",IF(AND(T694&gt;1,T694&lt;4), "2-3", "+4"))</f>
        <v>2-3</v>
      </c>
      <c r="V694" s="5"/>
      <c r="W694" s="6" t="s">
        <v>2248</v>
      </c>
    </row>
    <row r="695" spans="1:23" x14ac:dyDescent="0.15">
      <c r="A695" s="2" t="s">
        <v>97</v>
      </c>
      <c r="B695" s="2" t="s">
        <v>3932</v>
      </c>
      <c r="C695" s="2" t="s">
        <v>977</v>
      </c>
      <c r="D695" s="2" t="s">
        <v>546</v>
      </c>
      <c r="E695" s="1"/>
      <c r="F695" s="2" t="s">
        <v>69</v>
      </c>
      <c r="G695" s="2">
        <v>30.4</v>
      </c>
      <c r="H695" s="2" t="str">
        <f t="shared" si="26"/>
        <v>W</v>
      </c>
      <c r="I695" s="5">
        <v>29.2</v>
      </c>
      <c r="J695" s="5">
        <v>2800</v>
      </c>
      <c r="K695" s="7"/>
      <c r="L695" s="5">
        <v>12</v>
      </c>
      <c r="M695" s="2" t="s">
        <v>191</v>
      </c>
      <c r="N695" s="5">
        <v>34.67</v>
      </c>
      <c r="O695" s="5">
        <v>24.85</v>
      </c>
      <c r="P695" s="5">
        <v>12.9</v>
      </c>
      <c r="Q695" s="2" t="s">
        <v>18</v>
      </c>
      <c r="R695" s="5">
        <v>154.80000000000001</v>
      </c>
      <c r="S695" s="5">
        <v>5.53</v>
      </c>
      <c r="T695" s="9"/>
      <c r="U695" s="9"/>
      <c r="V695" s="5"/>
      <c r="W695" s="6" t="s">
        <v>2368</v>
      </c>
    </row>
    <row r="696" spans="1:23" x14ac:dyDescent="0.15">
      <c r="A696" s="2" t="s">
        <v>97</v>
      </c>
      <c r="B696" s="2" t="s">
        <v>3932</v>
      </c>
      <c r="C696" s="2" t="s">
        <v>977</v>
      </c>
      <c r="D696" s="2" t="s">
        <v>546</v>
      </c>
      <c r="E696" s="1"/>
      <c r="F696" s="2" t="s">
        <v>69</v>
      </c>
      <c r="G696" s="2" t="s">
        <v>374</v>
      </c>
      <c r="H696" s="2" t="str">
        <f t="shared" si="26"/>
        <v>C</v>
      </c>
      <c r="I696" s="5"/>
      <c r="J696" s="5"/>
      <c r="K696" s="7"/>
      <c r="L696" s="5"/>
      <c r="M696" s="2" t="s">
        <v>191</v>
      </c>
      <c r="N696" s="5">
        <v>42.5</v>
      </c>
      <c r="O696" s="5">
        <v>25</v>
      </c>
      <c r="P696" s="5">
        <f>(0.431*N696) + (0.982*O696) - 27.007</f>
        <v>15.860499999999998</v>
      </c>
      <c r="Q696" s="2" t="s">
        <v>376</v>
      </c>
      <c r="R696" s="5"/>
      <c r="S696" s="5"/>
      <c r="T696" s="9" t="s">
        <v>399</v>
      </c>
      <c r="U696" s="9"/>
      <c r="V696" s="5"/>
      <c r="W696" s="6" t="s">
        <v>2369</v>
      </c>
    </row>
    <row r="697" spans="1:23" x14ac:dyDescent="0.15">
      <c r="A697" s="2" t="s">
        <v>97</v>
      </c>
      <c r="B697" s="2" t="s">
        <v>3932</v>
      </c>
      <c r="C697" s="2" t="s">
        <v>977</v>
      </c>
      <c r="D697" s="2" t="s">
        <v>546</v>
      </c>
      <c r="E697" s="1"/>
      <c r="F697" s="2" t="s">
        <v>150</v>
      </c>
      <c r="G697" s="2">
        <v>31</v>
      </c>
      <c r="H697" s="2" t="str">
        <f t="shared" si="26"/>
        <v>W</v>
      </c>
      <c r="I697" s="5">
        <v>22</v>
      </c>
      <c r="J697" s="5">
        <v>1256</v>
      </c>
      <c r="K697" s="5"/>
      <c r="L697" s="5">
        <v>8.5</v>
      </c>
      <c r="M697" s="2" t="s">
        <v>191</v>
      </c>
      <c r="N697" s="5">
        <v>39.799999999999997</v>
      </c>
      <c r="O697" s="5">
        <v>29.5</v>
      </c>
      <c r="P697" s="5">
        <v>18.899999999999999</v>
      </c>
      <c r="Q697" s="2" t="s">
        <v>18</v>
      </c>
      <c r="R697" s="5">
        <v>160.6</v>
      </c>
      <c r="S697" s="5">
        <f>(R697/J697)*100</f>
        <v>12.786624203821656</v>
      </c>
      <c r="V697" s="5"/>
      <c r="W697" s="6" t="s">
        <v>1804</v>
      </c>
    </row>
    <row r="698" spans="1:23" x14ac:dyDescent="0.15">
      <c r="A698" s="2" t="s">
        <v>97</v>
      </c>
      <c r="B698" s="2" t="s">
        <v>3932</v>
      </c>
      <c r="C698" s="2" t="s">
        <v>977</v>
      </c>
      <c r="D698" s="2" t="s">
        <v>701</v>
      </c>
      <c r="E698" s="1"/>
      <c r="F698" s="2" t="s">
        <v>229</v>
      </c>
      <c r="H698" s="2" t="s">
        <v>3887</v>
      </c>
      <c r="I698" s="5"/>
      <c r="J698" s="5"/>
      <c r="K698" s="5"/>
      <c r="L698" s="5">
        <v>3.8</v>
      </c>
      <c r="M698" s="2" t="s">
        <v>191</v>
      </c>
      <c r="N698" s="5">
        <v>38.299999999999997</v>
      </c>
      <c r="O698" s="5">
        <v>22.8</v>
      </c>
      <c r="P698" s="5">
        <v>12.5</v>
      </c>
      <c r="Q698" s="2" t="s">
        <v>18</v>
      </c>
      <c r="R698" s="5">
        <v>47.5</v>
      </c>
      <c r="S698" s="5"/>
      <c r="V698" s="5"/>
      <c r="W698" s="6" t="s">
        <v>2452</v>
      </c>
    </row>
    <row r="699" spans="1:23" x14ac:dyDescent="0.15">
      <c r="A699" s="2" t="s">
        <v>97</v>
      </c>
      <c r="B699" s="2" t="s">
        <v>3932</v>
      </c>
      <c r="C699" s="2" t="s">
        <v>977</v>
      </c>
      <c r="D699" s="2" t="s">
        <v>702</v>
      </c>
      <c r="E699" s="1"/>
      <c r="F699" s="2" t="s">
        <v>151</v>
      </c>
      <c r="G699" s="2">
        <v>31.08</v>
      </c>
      <c r="H699" s="2" t="str">
        <f t="shared" si="26"/>
        <v>W</v>
      </c>
      <c r="I699" s="5">
        <v>24.8</v>
      </c>
      <c r="J699" s="5">
        <f xml:space="preserve"> 0.00011*(I699*10)^3.037</f>
        <v>2057.5122984960408</v>
      </c>
      <c r="K699" s="5">
        <v>14</v>
      </c>
      <c r="L699" s="5">
        <v>7.2</v>
      </c>
      <c r="M699" s="2" t="s">
        <v>191</v>
      </c>
      <c r="N699" s="5">
        <v>38</v>
      </c>
      <c r="O699" s="5">
        <v>26</v>
      </c>
      <c r="P699" s="5">
        <f xml:space="preserve"> 0.431*N699 + 0.982*O699 - 27.007</f>
        <v>14.902999999999995</v>
      </c>
      <c r="Q699" s="2" t="s">
        <v>376</v>
      </c>
      <c r="R699" s="5">
        <v>108.288</v>
      </c>
      <c r="S699" s="5">
        <v>5.26</v>
      </c>
      <c r="T699" s="2">
        <v>4</v>
      </c>
      <c r="U699" s="2" t="str">
        <f t="shared" ref="U699:U704" si="27">IF(T699&lt;=1, "1",IF(AND(T699&gt;1,T699&lt;4), "2-3", "+4"))</f>
        <v>+4</v>
      </c>
      <c r="V699" s="5">
        <f>S699*T699</f>
        <v>21.04</v>
      </c>
      <c r="W699" s="6" t="s">
        <v>1805</v>
      </c>
    </row>
    <row r="700" spans="1:23" x14ac:dyDescent="0.15">
      <c r="A700" s="2" t="s">
        <v>97</v>
      </c>
      <c r="B700" s="2" t="s">
        <v>3932</v>
      </c>
      <c r="C700" s="2" t="s">
        <v>977</v>
      </c>
      <c r="D700" s="2" t="s">
        <v>511</v>
      </c>
      <c r="E700" s="1"/>
      <c r="F700" s="2" t="s">
        <v>374</v>
      </c>
      <c r="G700" s="2" t="s">
        <v>374</v>
      </c>
      <c r="H700" s="2" t="str">
        <f t="shared" si="26"/>
        <v>C</v>
      </c>
      <c r="I700" s="5">
        <v>17</v>
      </c>
      <c r="J700" s="5">
        <v>800</v>
      </c>
      <c r="K700" s="5"/>
      <c r="L700" s="5">
        <v>4.67</v>
      </c>
      <c r="M700" s="5" t="s">
        <v>191</v>
      </c>
      <c r="N700" s="5">
        <v>36.070999999999998</v>
      </c>
      <c r="O700" s="5">
        <v>23.06</v>
      </c>
      <c r="P700" s="5">
        <v>11.64</v>
      </c>
      <c r="Q700" s="2" t="s">
        <v>18</v>
      </c>
      <c r="R700" s="5">
        <v>54.359000000000002</v>
      </c>
      <c r="S700" s="5">
        <v>6.79</v>
      </c>
      <c r="T700" s="2">
        <v>3</v>
      </c>
      <c r="U700" s="2" t="str">
        <f t="shared" si="27"/>
        <v>2-3</v>
      </c>
      <c r="V700" s="5">
        <f>S700*T700</f>
        <v>20.37</v>
      </c>
      <c r="W700" s="6" t="s">
        <v>3318</v>
      </c>
    </row>
    <row r="701" spans="1:23" x14ac:dyDescent="0.15">
      <c r="A701" s="2" t="s">
        <v>97</v>
      </c>
      <c r="B701" s="2" t="s">
        <v>3932</v>
      </c>
      <c r="C701" s="2" t="s">
        <v>977</v>
      </c>
      <c r="D701" s="2" t="s">
        <v>511</v>
      </c>
      <c r="E701" s="1"/>
      <c r="F701" s="2" t="s">
        <v>374</v>
      </c>
      <c r="G701" s="2" t="s">
        <v>374</v>
      </c>
      <c r="H701" s="2" t="str">
        <f t="shared" si="26"/>
        <v>C</v>
      </c>
      <c r="I701" s="5">
        <v>12.75</v>
      </c>
      <c r="J701" s="5">
        <f xml:space="preserve"> 0.18863*I701^2.8964</f>
        <v>300.33812414182</v>
      </c>
      <c r="K701" s="5"/>
      <c r="L701" s="5">
        <v>2.41</v>
      </c>
      <c r="M701" s="5" t="s">
        <v>191</v>
      </c>
      <c r="N701" s="5"/>
      <c r="O701" s="5">
        <f>(P701+13.579)/1.1521</f>
        <v>23.287041055463938</v>
      </c>
      <c r="P701" s="5">
        <v>13.25</v>
      </c>
      <c r="Q701" s="2" t="s">
        <v>18</v>
      </c>
      <c r="R701" s="5">
        <v>31.93</v>
      </c>
      <c r="S701" s="5">
        <f>(R701/J701)*100</f>
        <v>10.631350945284128</v>
      </c>
      <c r="T701" s="9">
        <f>MEDIAN(0,5)</f>
        <v>2.5</v>
      </c>
      <c r="U701" s="2" t="str">
        <f t="shared" si="27"/>
        <v>2-3</v>
      </c>
      <c r="V701" s="5">
        <f>S701*T701</f>
        <v>26.578377363210318</v>
      </c>
      <c r="W701" s="6" t="s">
        <v>2248</v>
      </c>
    </row>
    <row r="702" spans="1:23" x14ac:dyDescent="0.15">
      <c r="A702" s="2" t="s">
        <v>97</v>
      </c>
      <c r="B702" s="2" t="s">
        <v>3932</v>
      </c>
      <c r="C702" s="2" t="s">
        <v>977</v>
      </c>
      <c r="D702" s="2" t="s">
        <v>511</v>
      </c>
      <c r="E702" s="1"/>
      <c r="F702" s="2" t="s">
        <v>374</v>
      </c>
      <c r="G702" s="2" t="s">
        <v>374</v>
      </c>
      <c r="H702" s="2" t="str">
        <f t="shared" si="26"/>
        <v>C</v>
      </c>
      <c r="I702" s="5">
        <v>14.8</v>
      </c>
      <c r="J702" s="5">
        <f xml:space="preserve"> 0.18863*I702^2.8964</f>
        <v>462.54798908702412</v>
      </c>
      <c r="K702" s="5"/>
      <c r="L702" s="5">
        <v>3.4</v>
      </c>
      <c r="M702" s="5" t="s">
        <v>191</v>
      </c>
      <c r="N702" s="5"/>
      <c r="O702" s="5">
        <f>(P702+13.579)/1.1521</f>
        <v>24.36333651592744</v>
      </c>
      <c r="P702" s="5">
        <v>14.49</v>
      </c>
      <c r="Q702" s="2" t="s">
        <v>18</v>
      </c>
      <c r="R702" s="5">
        <v>49.27</v>
      </c>
      <c r="S702" s="5">
        <f>(R702/J702)*100</f>
        <v>10.651867733172722</v>
      </c>
      <c r="T702" s="2">
        <v>3.33</v>
      </c>
      <c r="U702" s="2" t="str">
        <f t="shared" si="27"/>
        <v>2-3</v>
      </c>
      <c r="V702" s="5">
        <f>S702*T702</f>
        <v>35.470719551465166</v>
      </c>
      <c r="W702" s="6" t="s">
        <v>2248</v>
      </c>
    </row>
    <row r="703" spans="1:23" x14ac:dyDescent="0.15">
      <c r="A703" s="2" t="s">
        <v>97</v>
      </c>
      <c r="B703" s="2" t="s">
        <v>3932</v>
      </c>
      <c r="C703" s="2" t="s">
        <v>977</v>
      </c>
      <c r="D703" s="2" t="s">
        <v>511</v>
      </c>
      <c r="E703" s="1"/>
      <c r="F703" s="2" t="s">
        <v>152</v>
      </c>
      <c r="G703" s="2">
        <v>30.5</v>
      </c>
      <c r="H703" s="2" t="str">
        <f t="shared" si="26"/>
        <v>W</v>
      </c>
      <c r="I703" s="5">
        <f>AVERAGE(19.1,19.1,19)</f>
        <v>19.066666666666666</v>
      </c>
      <c r="J703" s="5">
        <f xml:space="preserve"> 0.18863*I703^2.8964</f>
        <v>963.38220574779007</v>
      </c>
      <c r="K703" s="5"/>
      <c r="L703" s="5">
        <v>4.7</v>
      </c>
      <c r="M703" s="5" t="s">
        <v>191</v>
      </c>
      <c r="N703" s="5"/>
      <c r="O703" s="5"/>
      <c r="P703" s="5"/>
      <c r="R703" s="5"/>
      <c r="S703" s="5"/>
      <c r="T703" s="2">
        <v>1.1599999999999999</v>
      </c>
      <c r="U703" s="2" t="str">
        <f t="shared" si="27"/>
        <v>2-3</v>
      </c>
      <c r="V703" s="5"/>
      <c r="W703" s="6" t="s">
        <v>1806</v>
      </c>
    </row>
    <row r="704" spans="1:23" x14ac:dyDescent="0.15">
      <c r="A704" s="2" t="s">
        <v>97</v>
      </c>
      <c r="B704" s="2" t="s">
        <v>3932</v>
      </c>
      <c r="C704" s="2" t="s">
        <v>977</v>
      </c>
      <c r="D704" s="2" t="s">
        <v>511</v>
      </c>
      <c r="E704" s="1"/>
      <c r="F704" s="2" t="s">
        <v>156</v>
      </c>
      <c r="G704" s="2">
        <v>30.53</v>
      </c>
      <c r="H704" s="2" t="str">
        <f t="shared" si="26"/>
        <v>W</v>
      </c>
      <c r="I704" s="5">
        <v>19.2</v>
      </c>
      <c r="J704" s="5">
        <f xml:space="preserve"> 0.18863*I704^2.8964</f>
        <v>983.02473005654542</v>
      </c>
      <c r="K704" s="5"/>
      <c r="L704" s="5">
        <v>4.83</v>
      </c>
      <c r="M704" s="5" t="s">
        <v>191</v>
      </c>
      <c r="N704" s="5">
        <v>36.799999999999997</v>
      </c>
      <c r="O704" s="5">
        <v>22.9</v>
      </c>
      <c r="P704" s="5">
        <f xml:space="preserve"> (0.434*N704) + (0.777*O704) - 21.593</f>
        <v>12.171499999999998</v>
      </c>
      <c r="Q704" s="2" t="s">
        <v>376</v>
      </c>
      <c r="R704" s="5">
        <f>P704*L704</f>
        <v>58.788344999999993</v>
      </c>
      <c r="S704" s="5">
        <f>(R704/J704)*100</f>
        <v>5.9803525997375848</v>
      </c>
      <c r="T704" s="2">
        <v>1.1399999999999999</v>
      </c>
      <c r="U704" s="2" t="str">
        <f t="shared" si="27"/>
        <v>2-3</v>
      </c>
      <c r="V704" s="5">
        <f>S704*T704</f>
        <v>6.817601963700846</v>
      </c>
      <c r="W704" s="6" t="s">
        <v>2249</v>
      </c>
    </row>
    <row r="705" spans="1:23" x14ac:dyDescent="0.15">
      <c r="A705" s="2" t="s">
        <v>97</v>
      </c>
      <c r="B705" s="2" t="s">
        <v>3932</v>
      </c>
      <c r="C705" s="2" t="s">
        <v>977</v>
      </c>
      <c r="D705" s="2" t="s">
        <v>703</v>
      </c>
      <c r="E705" s="1"/>
      <c r="F705" s="2" t="s">
        <v>2265</v>
      </c>
      <c r="G705" s="2">
        <v>42.32</v>
      </c>
      <c r="H705" s="2" t="str">
        <f t="shared" si="26"/>
        <v>W</v>
      </c>
      <c r="I705" s="5">
        <v>23.4</v>
      </c>
      <c r="J705" s="5">
        <v>1362</v>
      </c>
      <c r="K705" s="5"/>
      <c r="L705" s="5">
        <v>13.2</v>
      </c>
      <c r="M705" s="2" t="s">
        <v>191</v>
      </c>
      <c r="N705" s="5">
        <v>34</v>
      </c>
      <c r="O705" s="5"/>
      <c r="P705" s="5">
        <v>9.64</v>
      </c>
      <c r="Q705" s="2" t="s">
        <v>376</v>
      </c>
      <c r="R705" s="5">
        <v>127.23</v>
      </c>
      <c r="S705" s="5">
        <v>9.34</v>
      </c>
      <c r="V705" s="5"/>
      <c r="W705" s="6" t="s">
        <v>3112</v>
      </c>
    </row>
    <row r="706" spans="1:23" x14ac:dyDescent="0.15">
      <c r="A706" s="2" t="s">
        <v>97</v>
      </c>
      <c r="B706" s="2" t="s">
        <v>3932</v>
      </c>
      <c r="C706" s="2" t="s">
        <v>977</v>
      </c>
      <c r="D706" s="2" t="s">
        <v>703</v>
      </c>
      <c r="E706" s="1"/>
      <c r="F706" s="2" t="s">
        <v>2430</v>
      </c>
      <c r="G706" s="2">
        <v>45.45</v>
      </c>
      <c r="H706" s="2" t="str">
        <f t="shared" si="26"/>
        <v>W</v>
      </c>
      <c r="I706" s="5"/>
      <c r="J706" s="5"/>
      <c r="K706" s="5"/>
      <c r="L706" s="5">
        <v>12.67</v>
      </c>
      <c r="M706" s="2" t="s">
        <v>191</v>
      </c>
      <c r="N706" s="5"/>
      <c r="O706" s="5"/>
      <c r="P706" s="5"/>
      <c r="R706" s="5"/>
      <c r="S706" s="5"/>
      <c r="V706" s="5"/>
      <c r="W706" s="6" t="s">
        <v>2453</v>
      </c>
    </row>
    <row r="707" spans="1:23" x14ac:dyDescent="0.15">
      <c r="A707" s="2" t="s">
        <v>97</v>
      </c>
      <c r="B707" s="2" t="s">
        <v>3932</v>
      </c>
      <c r="C707" s="2" t="s">
        <v>977</v>
      </c>
      <c r="D707" s="2" t="s">
        <v>703</v>
      </c>
      <c r="E707" s="1"/>
      <c r="F707" s="2" t="s">
        <v>120</v>
      </c>
      <c r="G707" s="2">
        <v>40.200000000000003</v>
      </c>
      <c r="H707" s="2" t="str">
        <f t="shared" si="26"/>
        <v>W</v>
      </c>
      <c r="I707" s="5">
        <v>24.25</v>
      </c>
      <c r="J707" s="5">
        <f xml:space="preserve"> 0.0728*I707^3.156</f>
        <v>1707.1891424735372</v>
      </c>
      <c r="K707" s="5"/>
      <c r="L707" s="5">
        <v>9.5</v>
      </c>
      <c r="M707" s="2" t="s">
        <v>191</v>
      </c>
      <c r="N707" s="5"/>
      <c r="O707" s="5"/>
      <c r="P707" s="5"/>
      <c r="R707" s="5"/>
      <c r="S707" s="5"/>
      <c r="V707" s="5"/>
      <c r="W707" s="6" t="s">
        <v>3428</v>
      </c>
    </row>
    <row r="708" spans="1:23" x14ac:dyDescent="0.15">
      <c r="A708" s="2" t="s">
        <v>97</v>
      </c>
      <c r="B708" s="2" t="s">
        <v>3932</v>
      </c>
      <c r="C708" s="2" t="s">
        <v>977</v>
      </c>
      <c r="D708" s="2" t="s">
        <v>703</v>
      </c>
      <c r="E708" s="1"/>
      <c r="F708" s="2" t="s">
        <v>107</v>
      </c>
      <c r="H708" s="2" t="s">
        <v>3887</v>
      </c>
      <c r="I708" s="5">
        <v>20.69</v>
      </c>
      <c r="J708" s="5">
        <v>1052.7</v>
      </c>
      <c r="K708" s="5"/>
      <c r="L708" s="5">
        <v>15</v>
      </c>
      <c r="M708" s="2" t="s">
        <v>191</v>
      </c>
      <c r="N708" s="5">
        <v>35</v>
      </c>
      <c r="O708" s="5">
        <v>21.3</v>
      </c>
      <c r="P708" s="5">
        <v>9</v>
      </c>
      <c r="Q708" s="2" t="s">
        <v>18</v>
      </c>
      <c r="R708" s="5">
        <v>135</v>
      </c>
      <c r="S708" s="5">
        <v>12.82</v>
      </c>
      <c r="T708" s="2" t="s">
        <v>410</v>
      </c>
      <c r="U708" s="40" t="s">
        <v>395</v>
      </c>
      <c r="V708" s="5"/>
      <c r="W708" s="6" t="s">
        <v>2221</v>
      </c>
    </row>
    <row r="709" spans="1:23" x14ac:dyDescent="0.15">
      <c r="A709" s="2" t="s">
        <v>97</v>
      </c>
      <c r="B709" s="2" t="s">
        <v>3932</v>
      </c>
      <c r="C709" s="2" t="s">
        <v>977</v>
      </c>
      <c r="D709" s="2" t="s">
        <v>703</v>
      </c>
      <c r="E709" s="1"/>
      <c r="F709" s="2" t="s">
        <v>154</v>
      </c>
      <c r="G709" s="2">
        <v>40.4</v>
      </c>
      <c r="H709" s="2" t="str">
        <f t="shared" si="26"/>
        <v>W</v>
      </c>
      <c r="I709" s="5">
        <v>20.6</v>
      </c>
      <c r="J709" s="5">
        <v>1194</v>
      </c>
      <c r="K709" s="5"/>
      <c r="L709" s="5">
        <v>10.3</v>
      </c>
      <c r="M709" s="2" t="s">
        <v>191</v>
      </c>
      <c r="N709" s="5"/>
      <c r="O709" s="5"/>
      <c r="P709" s="5"/>
      <c r="R709" s="5"/>
      <c r="S709" s="5"/>
      <c r="T709" s="2" t="s">
        <v>122</v>
      </c>
      <c r="V709" s="5"/>
      <c r="W709" s="6" t="s">
        <v>1807</v>
      </c>
    </row>
    <row r="710" spans="1:23" x14ac:dyDescent="0.15">
      <c r="A710" s="2" t="s">
        <v>97</v>
      </c>
      <c r="B710" s="2" t="s">
        <v>3932</v>
      </c>
      <c r="C710" s="2" t="s">
        <v>977</v>
      </c>
      <c r="D710" s="2" t="s">
        <v>703</v>
      </c>
      <c r="E710" s="1"/>
      <c r="F710" s="2" t="s">
        <v>155</v>
      </c>
      <c r="G710" s="2">
        <v>42.1</v>
      </c>
      <c r="H710" s="2" t="str">
        <f t="shared" si="26"/>
        <v>W</v>
      </c>
      <c r="I710" s="5">
        <v>22.899000000000001</v>
      </c>
      <c r="J710" s="5">
        <v>1543.83</v>
      </c>
      <c r="K710" s="5"/>
      <c r="L710" s="5">
        <v>11.9</v>
      </c>
      <c r="M710" s="2" t="s">
        <v>191</v>
      </c>
      <c r="N710" s="5">
        <f>(P710+19.06-(0.818*O710))/0.316</f>
        <v>35.398354430379747</v>
      </c>
      <c r="O710" s="5">
        <v>22.34</v>
      </c>
      <c r="P710" s="5">
        <v>10.4</v>
      </c>
      <c r="Q710" s="2" t="s">
        <v>18</v>
      </c>
      <c r="R710" s="5">
        <f>P710*L710</f>
        <v>123.76</v>
      </c>
      <c r="S710" s="5">
        <f>(R710/J710)*100</f>
        <v>8.0164266791032688</v>
      </c>
      <c r="V710" s="5"/>
      <c r="W710" s="6" t="s">
        <v>1959</v>
      </c>
    </row>
    <row r="711" spans="1:23" x14ac:dyDescent="0.15">
      <c r="A711" s="2" t="s">
        <v>97</v>
      </c>
      <c r="B711" s="2" t="s">
        <v>3932</v>
      </c>
      <c r="C711" s="2" t="s">
        <v>977</v>
      </c>
      <c r="D711" s="2" t="s">
        <v>703</v>
      </c>
      <c r="E711" s="1"/>
      <c r="F711" s="2" t="s">
        <v>153</v>
      </c>
      <c r="G711" s="2">
        <v>43</v>
      </c>
      <c r="H711" s="2" t="str">
        <f t="shared" si="26"/>
        <v>W</v>
      </c>
      <c r="I711" s="5">
        <v>22.6</v>
      </c>
      <c r="J711" s="5">
        <v>1138</v>
      </c>
      <c r="K711" s="5">
        <v>9</v>
      </c>
      <c r="L711" s="5">
        <v>10.1</v>
      </c>
      <c r="M711" s="2" t="s">
        <v>191</v>
      </c>
      <c r="N711" s="5">
        <v>36.43</v>
      </c>
      <c r="O711" s="5">
        <v>22.94</v>
      </c>
      <c r="P711" s="5">
        <v>11.23</v>
      </c>
      <c r="Q711" s="2" t="s">
        <v>376</v>
      </c>
      <c r="R711" s="5">
        <v>113.42</v>
      </c>
      <c r="S711" s="5">
        <f>(R711/J711)*100</f>
        <v>9.9666080843585227</v>
      </c>
      <c r="V711" s="5"/>
      <c r="W711" s="6" t="s">
        <v>1809</v>
      </c>
    </row>
    <row r="712" spans="1:23" x14ac:dyDescent="0.15">
      <c r="A712" s="2" t="s">
        <v>97</v>
      </c>
      <c r="B712" s="2" t="s">
        <v>3932</v>
      </c>
      <c r="C712" s="2" t="s">
        <v>977</v>
      </c>
      <c r="D712" s="2" t="s">
        <v>703</v>
      </c>
      <c r="E712" s="1"/>
      <c r="F712" s="2" t="s">
        <v>2230</v>
      </c>
      <c r="G712" s="2">
        <v>37.78</v>
      </c>
      <c r="H712" s="2" t="str">
        <f t="shared" si="26"/>
        <v>W</v>
      </c>
      <c r="I712" s="5"/>
      <c r="J712" s="5"/>
      <c r="K712" s="7">
        <f>MEDIAN(9,10)</f>
        <v>9.5</v>
      </c>
      <c r="L712" s="5">
        <v>10.1</v>
      </c>
      <c r="M712" s="5" t="s">
        <v>191</v>
      </c>
      <c r="N712" s="5"/>
      <c r="O712" s="5"/>
      <c r="P712" s="5"/>
      <c r="R712" s="5"/>
      <c r="S712" s="5"/>
      <c r="T712" s="9" t="s">
        <v>382</v>
      </c>
      <c r="U712" s="40" t="s">
        <v>395</v>
      </c>
      <c r="V712" s="5"/>
      <c r="W712" s="6" t="s">
        <v>2370</v>
      </c>
    </row>
    <row r="713" spans="1:23" x14ac:dyDescent="0.15">
      <c r="A713" s="2" t="s">
        <v>97</v>
      </c>
      <c r="B713" s="2" t="s">
        <v>3932</v>
      </c>
      <c r="C713" s="2" t="s">
        <v>977</v>
      </c>
      <c r="D713" s="2" t="s">
        <v>704</v>
      </c>
      <c r="E713" s="1"/>
      <c r="F713" s="2" t="s">
        <v>374</v>
      </c>
      <c r="G713" s="2" t="s">
        <v>374</v>
      </c>
      <c r="H713" s="2" t="str">
        <f t="shared" si="26"/>
        <v>C</v>
      </c>
      <c r="I713" s="5">
        <v>21.71</v>
      </c>
      <c r="J713" s="5">
        <v>1232</v>
      </c>
      <c r="K713" s="5"/>
      <c r="L713" s="5">
        <v>4.33</v>
      </c>
      <c r="M713" s="2" t="s">
        <v>191</v>
      </c>
      <c r="N713" s="5"/>
      <c r="O713" s="5"/>
      <c r="P713" s="5"/>
      <c r="R713" s="5"/>
      <c r="S713" s="5"/>
      <c r="T713" s="2" t="s">
        <v>893</v>
      </c>
      <c r="U713" s="40" t="s">
        <v>4047</v>
      </c>
      <c r="V713" s="5"/>
      <c r="W713" s="6" t="s">
        <v>2371</v>
      </c>
    </row>
    <row r="714" spans="1:23" x14ac:dyDescent="0.15">
      <c r="A714" s="2" t="s">
        <v>97</v>
      </c>
      <c r="B714" s="2" t="s">
        <v>3932</v>
      </c>
      <c r="C714" s="2" t="s">
        <v>977</v>
      </c>
      <c r="D714" s="2" t="s">
        <v>704</v>
      </c>
      <c r="E714" s="1"/>
      <c r="F714" s="2" t="s">
        <v>156</v>
      </c>
      <c r="G714" s="2">
        <v>31.15</v>
      </c>
      <c r="H714" s="2" t="str">
        <f t="shared" si="26"/>
        <v>W</v>
      </c>
      <c r="I714" s="5">
        <f>EXP(LN(J714/0.00011)/3.037)/10</f>
        <v>24.908609327353012</v>
      </c>
      <c r="J714" s="5">
        <v>2085</v>
      </c>
      <c r="K714" s="7">
        <v>11</v>
      </c>
      <c r="L714" s="5">
        <v>7.5</v>
      </c>
      <c r="M714" s="2" t="s">
        <v>191</v>
      </c>
      <c r="N714" s="5">
        <v>38.299999999999997</v>
      </c>
      <c r="O714" s="5">
        <v>26</v>
      </c>
      <c r="P714" s="5">
        <v>13.9</v>
      </c>
      <c r="Q714" s="2" t="s">
        <v>18</v>
      </c>
      <c r="R714" s="5">
        <v>85</v>
      </c>
      <c r="S714" s="5">
        <v>4</v>
      </c>
      <c r="T714" s="9">
        <v>3</v>
      </c>
      <c r="U714" s="2" t="str">
        <f>IF(T714&lt;=1, "1",IF(AND(T714&gt;1,T714&lt;4), "2-3", "+4"))</f>
        <v>2-3</v>
      </c>
      <c r="V714" s="5">
        <f>S714*T714</f>
        <v>12</v>
      </c>
      <c r="W714" s="6" t="s">
        <v>4045</v>
      </c>
    </row>
    <row r="715" spans="1:23" x14ac:dyDescent="0.15">
      <c r="A715" s="2" t="s">
        <v>97</v>
      </c>
      <c r="B715" s="2" t="s">
        <v>3932</v>
      </c>
      <c r="C715" s="2" t="s">
        <v>977</v>
      </c>
      <c r="D715" s="2" t="s">
        <v>705</v>
      </c>
      <c r="E715" s="1"/>
      <c r="F715" s="2" t="s">
        <v>175</v>
      </c>
      <c r="H715" s="2" t="s">
        <v>3887</v>
      </c>
      <c r="I715" s="5"/>
      <c r="J715" s="5"/>
      <c r="K715" s="5">
        <v>8.5</v>
      </c>
      <c r="L715" s="5"/>
      <c r="M715" s="5"/>
      <c r="N715" s="5"/>
      <c r="O715" s="5"/>
      <c r="P715" s="5"/>
      <c r="R715" s="5"/>
      <c r="S715" s="5"/>
      <c r="T715" s="9"/>
      <c r="V715" s="5"/>
      <c r="W715" s="6" t="s">
        <v>4064</v>
      </c>
    </row>
    <row r="716" spans="1:23" x14ac:dyDescent="0.15">
      <c r="A716" s="2" t="s">
        <v>97</v>
      </c>
      <c r="B716" s="2" t="s">
        <v>3932</v>
      </c>
      <c r="C716" s="2" t="s">
        <v>977</v>
      </c>
      <c r="D716" s="2" t="s">
        <v>705</v>
      </c>
      <c r="E716" s="1"/>
      <c r="F716" s="2" t="s">
        <v>374</v>
      </c>
      <c r="G716" s="2" t="s">
        <v>374</v>
      </c>
      <c r="H716" s="2" t="str">
        <f t="shared" ref="H716:H739" si="28">IF(G716="captive","C","W")</f>
        <v>C</v>
      </c>
      <c r="I716" s="5">
        <v>14.18</v>
      </c>
      <c r="J716" s="5">
        <f xml:space="preserve"> 0.18863*I716^2.8964</f>
        <v>408.62581498567891</v>
      </c>
      <c r="K716" s="5"/>
      <c r="L716" s="5">
        <v>3.15</v>
      </c>
      <c r="M716" s="5" t="s">
        <v>191</v>
      </c>
      <c r="N716" s="5"/>
      <c r="O716" s="5">
        <f>(P716+8.4733)/0.962</f>
        <v>23.568918918918918</v>
      </c>
      <c r="P716" s="5">
        <v>14.2</v>
      </c>
      <c r="Q716" s="2" t="s">
        <v>18</v>
      </c>
      <c r="R716" s="5">
        <v>44.73</v>
      </c>
      <c r="S716" s="5">
        <f>(R716/J716)*100</f>
        <v>10.94644497718962</v>
      </c>
      <c r="T716" s="9">
        <v>3.57</v>
      </c>
      <c r="U716" s="2" t="str">
        <f>IF(T716&lt;=1, "1",IF(AND(T716&gt;1,T716&lt;4), "2-3", "+4"))</f>
        <v>2-3</v>
      </c>
      <c r="V716" s="5">
        <f>S716*T716</f>
        <v>39.078808568566942</v>
      </c>
      <c r="W716" s="6" t="s">
        <v>2248</v>
      </c>
    </row>
    <row r="717" spans="1:23" x14ac:dyDescent="0.15">
      <c r="A717" s="2" t="s">
        <v>97</v>
      </c>
      <c r="B717" s="2" t="s">
        <v>3932</v>
      </c>
      <c r="C717" s="2" t="s">
        <v>977</v>
      </c>
      <c r="D717" s="2" t="s">
        <v>705</v>
      </c>
      <c r="E717" s="1"/>
      <c r="F717" s="2" t="s">
        <v>374</v>
      </c>
      <c r="G717" s="2" t="s">
        <v>374</v>
      </c>
      <c r="H717" s="2" t="str">
        <f t="shared" si="28"/>
        <v>C</v>
      </c>
      <c r="I717" s="5"/>
      <c r="J717" s="5"/>
      <c r="K717" s="5"/>
      <c r="L717" s="5">
        <v>4.1159999999999997</v>
      </c>
      <c r="M717" s="5" t="s">
        <v>191</v>
      </c>
      <c r="N717" s="5"/>
      <c r="O717" s="5"/>
      <c r="P717" s="5"/>
      <c r="R717" s="5"/>
      <c r="S717" s="5"/>
      <c r="T717" s="2" t="s">
        <v>1748</v>
      </c>
      <c r="U717" s="40" t="s">
        <v>4047</v>
      </c>
      <c r="V717" s="5"/>
      <c r="W717" s="6" t="s">
        <v>3322</v>
      </c>
    </row>
    <row r="718" spans="1:23" x14ac:dyDescent="0.15">
      <c r="A718" s="2" t="s">
        <v>97</v>
      </c>
      <c r="B718" s="2" t="s">
        <v>3932</v>
      </c>
      <c r="C718" s="2" t="s">
        <v>977</v>
      </c>
      <c r="D718" s="2" t="s">
        <v>705</v>
      </c>
      <c r="E718" s="1"/>
      <c r="F718" s="2" t="s">
        <v>175</v>
      </c>
      <c r="G718" s="2">
        <v>30.79</v>
      </c>
      <c r="H718" s="2" t="str">
        <f t="shared" si="28"/>
        <v>W</v>
      </c>
      <c r="I718" s="5">
        <v>15.5</v>
      </c>
      <c r="J718" s="5">
        <f xml:space="preserve"> 0.18863*I718^2.8964</f>
        <v>528.79518907085719</v>
      </c>
      <c r="K718" s="5"/>
      <c r="L718" s="5">
        <v>5.5</v>
      </c>
      <c r="M718" s="5" t="s">
        <v>191</v>
      </c>
      <c r="N718" s="5">
        <v>37.03</v>
      </c>
      <c r="O718" s="5">
        <v>23.78</v>
      </c>
      <c r="P718" s="5">
        <v>11.68</v>
      </c>
      <c r="Q718" s="2" t="s">
        <v>376</v>
      </c>
      <c r="R718" s="5">
        <v>64.260000000000005</v>
      </c>
      <c r="S718" s="5">
        <f>(R718/J718)*100</f>
        <v>12.152152918204658</v>
      </c>
      <c r="V718" s="5"/>
      <c r="W718" s="6" t="s">
        <v>1962</v>
      </c>
    </row>
    <row r="719" spans="1:23" x14ac:dyDescent="0.15">
      <c r="A719" s="2" t="s">
        <v>97</v>
      </c>
      <c r="B719" s="2" t="s">
        <v>3932</v>
      </c>
      <c r="C719" s="2" t="s">
        <v>977</v>
      </c>
      <c r="D719" s="2" t="s">
        <v>705</v>
      </c>
      <c r="E719" s="1"/>
      <c r="F719" s="2" t="s">
        <v>175</v>
      </c>
      <c r="H719" s="2" t="s">
        <v>3887</v>
      </c>
      <c r="I719" s="5">
        <f>(1.07684*159.1)/10</f>
        <v>17.132524400000001</v>
      </c>
      <c r="J719" s="5">
        <f xml:space="preserve"> 0.18863*I719^2.8964</f>
        <v>706.72580464370856</v>
      </c>
      <c r="K719" s="5"/>
      <c r="L719" s="5">
        <v>3.8</v>
      </c>
      <c r="M719" s="2" t="s">
        <v>191</v>
      </c>
      <c r="N719" s="5"/>
      <c r="O719" s="5">
        <v>22.1</v>
      </c>
      <c r="P719" s="8">
        <f xml:space="preserve"> 0.962*O719 - 8.4733</f>
        <v>12.786900000000001</v>
      </c>
      <c r="Q719" s="2" t="s">
        <v>376</v>
      </c>
      <c r="R719" s="5">
        <v>48.59</v>
      </c>
      <c r="S719" s="5">
        <f>(R719/J719)*100</f>
        <v>6.8753680254389966</v>
      </c>
      <c r="V719" s="5"/>
      <c r="W719" s="6" t="s">
        <v>2454</v>
      </c>
    </row>
    <row r="720" spans="1:23" x14ac:dyDescent="0.15">
      <c r="A720" s="1" t="s">
        <v>97</v>
      </c>
      <c r="B720" s="2" t="s">
        <v>3932</v>
      </c>
      <c r="C720" s="1" t="s">
        <v>977</v>
      </c>
      <c r="D720" s="1" t="s">
        <v>705</v>
      </c>
      <c r="E720" s="1"/>
      <c r="F720" s="1" t="s">
        <v>175</v>
      </c>
      <c r="G720" s="1">
        <v>32.4</v>
      </c>
      <c r="H720" s="2" t="str">
        <f t="shared" si="28"/>
        <v>W</v>
      </c>
      <c r="I720" s="8">
        <v>17.82</v>
      </c>
      <c r="J720" s="8">
        <v>792.6</v>
      </c>
      <c r="K720" s="8"/>
      <c r="L720" s="8">
        <v>4</v>
      </c>
      <c r="M720" s="1" t="s">
        <v>191</v>
      </c>
      <c r="N720" s="8">
        <v>40.509</v>
      </c>
      <c r="O720" s="8">
        <v>22.28</v>
      </c>
      <c r="P720" s="8">
        <v>12.96</v>
      </c>
      <c r="Q720" s="1" t="s">
        <v>376</v>
      </c>
      <c r="R720" s="8">
        <v>51.84</v>
      </c>
      <c r="S720" s="8">
        <v>6.54</v>
      </c>
      <c r="T720" s="1"/>
      <c r="U720" s="1"/>
      <c r="V720" s="8"/>
      <c r="W720" s="6" t="s">
        <v>3637</v>
      </c>
    </row>
    <row r="721" spans="1:23" x14ac:dyDescent="0.15">
      <c r="A721" s="2" t="s">
        <v>97</v>
      </c>
      <c r="B721" s="2" t="s">
        <v>3932</v>
      </c>
      <c r="C721" s="2" t="s">
        <v>977</v>
      </c>
      <c r="D721" s="2" t="s">
        <v>706</v>
      </c>
      <c r="E721" s="1"/>
      <c r="F721" s="2" t="s">
        <v>157</v>
      </c>
      <c r="G721" s="2">
        <v>32</v>
      </c>
      <c r="H721" s="2" t="str">
        <f t="shared" si="28"/>
        <v>W</v>
      </c>
      <c r="I721" s="5">
        <v>14.8</v>
      </c>
      <c r="J721" s="5">
        <f xml:space="preserve"> 0.18863*I721^2.8964</f>
        <v>462.54798908702412</v>
      </c>
      <c r="K721" s="5"/>
      <c r="L721" s="5">
        <v>3</v>
      </c>
      <c r="M721" s="2" t="s">
        <v>191</v>
      </c>
      <c r="N721" s="5">
        <f>(AVERAGE(4.03,4))*10</f>
        <v>40.150000000000006</v>
      </c>
      <c r="O721" s="5">
        <f>AVERAGE(2.06,2.1)*10</f>
        <v>20.8</v>
      </c>
      <c r="P721" s="5">
        <f xml:space="preserve"> 0.459*N721 + 0.609*O721 - 19.795</f>
        <v>11.301050000000004</v>
      </c>
      <c r="Q721" s="2" t="s">
        <v>376</v>
      </c>
      <c r="R721" s="5">
        <v>31.8</v>
      </c>
      <c r="S721" s="5">
        <f>(R721/J721)*100</f>
        <v>6.8749623282908967</v>
      </c>
      <c r="V721" s="5"/>
      <c r="W721" s="6" t="s">
        <v>1963</v>
      </c>
    </row>
    <row r="722" spans="1:23" x14ac:dyDescent="0.15">
      <c r="A722" s="2" t="s">
        <v>97</v>
      </c>
      <c r="B722" s="2" t="s">
        <v>3932</v>
      </c>
      <c r="C722" s="2" t="s">
        <v>977</v>
      </c>
      <c r="D722" s="2" t="s">
        <v>706</v>
      </c>
      <c r="E722" s="1"/>
      <c r="F722" s="2" t="s">
        <v>156</v>
      </c>
      <c r="G722" s="2">
        <v>34.39</v>
      </c>
      <c r="H722" s="2" t="str">
        <f t="shared" si="28"/>
        <v>W</v>
      </c>
      <c r="I722" s="5">
        <v>16.46</v>
      </c>
      <c r="J722" s="5">
        <v>627.9</v>
      </c>
      <c r="K722" s="7">
        <f>MEDIAN(10,16)</f>
        <v>13</v>
      </c>
      <c r="L722" s="5">
        <v>3.66</v>
      </c>
      <c r="M722" s="2" t="s">
        <v>191</v>
      </c>
      <c r="N722" s="5">
        <v>38.799999999999997</v>
      </c>
      <c r="O722" s="5">
        <v>22.7</v>
      </c>
      <c r="P722" s="5">
        <v>11.8</v>
      </c>
      <c r="Q722" s="2" t="s">
        <v>18</v>
      </c>
      <c r="R722" s="5">
        <v>43.19</v>
      </c>
      <c r="S722" s="5">
        <v>6.88</v>
      </c>
      <c r="T722" s="9">
        <f>MEDIAN(1,2)</f>
        <v>1.5</v>
      </c>
      <c r="U722" s="2" t="str">
        <f>IF(T722&lt;=1, "1",IF(AND(T722&gt;1,T722&lt;4), "2-3", "+4"))</f>
        <v>2-3</v>
      </c>
      <c r="V722" s="5">
        <f>S722*T722</f>
        <v>10.32</v>
      </c>
      <c r="W722" s="6" t="s">
        <v>2372</v>
      </c>
    </row>
    <row r="723" spans="1:23" x14ac:dyDescent="0.15">
      <c r="A723" s="4" t="s">
        <v>97</v>
      </c>
      <c r="B723" s="2" t="s">
        <v>3932</v>
      </c>
      <c r="C723" s="4" t="s">
        <v>977</v>
      </c>
      <c r="D723" s="4" t="s">
        <v>706</v>
      </c>
      <c r="E723" s="1"/>
      <c r="F723" s="4" t="s">
        <v>156</v>
      </c>
      <c r="G723" s="4">
        <v>32</v>
      </c>
      <c r="H723" s="2" t="str">
        <f t="shared" si="28"/>
        <v>W</v>
      </c>
      <c r="I723" s="5">
        <v>13.12</v>
      </c>
      <c r="J723" s="5">
        <f xml:space="preserve"> 0.18863*I723^2.8964</f>
        <v>326.28290818532781</v>
      </c>
      <c r="K723" s="33">
        <v>9.14</v>
      </c>
      <c r="L723" s="33"/>
      <c r="M723" s="2" t="s">
        <v>191</v>
      </c>
      <c r="N723" s="33"/>
      <c r="O723" s="33"/>
      <c r="P723" s="33"/>
      <c r="Q723" s="4"/>
      <c r="R723" s="33"/>
      <c r="S723" s="33"/>
      <c r="T723" s="4"/>
      <c r="U723" s="4"/>
      <c r="V723" s="33"/>
      <c r="W723" s="10" t="s">
        <v>1808</v>
      </c>
    </row>
    <row r="724" spans="1:23" x14ac:dyDescent="0.15">
      <c r="A724" s="2" t="s">
        <v>97</v>
      </c>
      <c r="B724" s="2" t="s">
        <v>3932</v>
      </c>
      <c r="C724" s="2" t="s">
        <v>977</v>
      </c>
      <c r="D724" s="2" t="s">
        <v>707</v>
      </c>
      <c r="E724" s="1"/>
      <c r="F724" s="2" t="s">
        <v>158</v>
      </c>
      <c r="G724" s="2">
        <v>43.18</v>
      </c>
      <c r="H724" s="2" t="str">
        <f t="shared" si="28"/>
        <v>W</v>
      </c>
      <c r="I724" s="5">
        <v>16.5</v>
      </c>
      <c r="J724" s="5">
        <f xml:space="preserve"> 0.00017*(I724*10)^2.9673</f>
        <v>646.2328474398015</v>
      </c>
      <c r="K724" s="5"/>
      <c r="L724" s="5">
        <v>7.4</v>
      </c>
      <c r="M724" s="2" t="s">
        <v>191</v>
      </c>
      <c r="N724" s="5"/>
      <c r="O724" s="5"/>
      <c r="P724" s="5"/>
      <c r="R724" s="5"/>
      <c r="S724" s="5"/>
      <c r="V724" s="5"/>
      <c r="W724" s="6" t="s">
        <v>2979</v>
      </c>
    </row>
    <row r="725" spans="1:23" x14ac:dyDescent="0.15">
      <c r="A725" s="2" t="s">
        <v>97</v>
      </c>
      <c r="B725" s="2" t="s">
        <v>3932</v>
      </c>
      <c r="C725" s="2" t="s">
        <v>977</v>
      </c>
      <c r="D725" s="2" t="s">
        <v>707</v>
      </c>
      <c r="E725" s="1"/>
      <c r="F725" s="2" t="s">
        <v>2266</v>
      </c>
      <c r="G725" s="2">
        <v>44.22</v>
      </c>
      <c r="H725" s="2" t="str">
        <f t="shared" si="28"/>
        <v>W</v>
      </c>
      <c r="I725" s="5">
        <v>21</v>
      </c>
      <c r="J725" s="5">
        <f xml:space="preserve"> 0.00017*(I725*10)^2.9673</f>
        <v>1321.8136568388602</v>
      </c>
      <c r="K725" s="5"/>
      <c r="L725" s="5">
        <v>10.3</v>
      </c>
      <c r="M725" s="2" t="s">
        <v>191</v>
      </c>
      <c r="N725" s="5"/>
      <c r="O725" s="5"/>
      <c r="P725" s="5"/>
      <c r="R725" s="5"/>
      <c r="S725" s="5"/>
      <c r="V725" s="5"/>
      <c r="W725" s="6" t="s">
        <v>2979</v>
      </c>
    </row>
    <row r="726" spans="1:23" x14ac:dyDescent="0.15">
      <c r="A726" s="2" t="s">
        <v>97</v>
      </c>
      <c r="B726" s="2" t="s">
        <v>3932</v>
      </c>
      <c r="C726" s="2" t="s">
        <v>977</v>
      </c>
      <c r="D726" s="2" t="s">
        <v>707</v>
      </c>
      <c r="E726" s="1"/>
      <c r="F726" s="2" t="s">
        <v>158</v>
      </c>
      <c r="G726" s="2">
        <v>43.66</v>
      </c>
      <c r="H726" s="2" t="str">
        <f t="shared" si="28"/>
        <v>W</v>
      </c>
      <c r="I726" s="5"/>
      <c r="J726" s="5"/>
      <c r="K726" s="5"/>
      <c r="L726" s="5">
        <v>11.3</v>
      </c>
      <c r="M726" s="2" t="s">
        <v>191</v>
      </c>
      <c r="N726" s="5"/>
      <c r="O726" s="5"/>
      <c r="P726" s="5">
        <v>11.39</v>
      </c>
      <c r="Q726" s="2" t="s">
        <v>18</v>
      </c>
      <c r="R726" s="5">
        <v>128.71</v>
      </c>
      <c r="S726" s="5"/>
      <c r="V726" s="5"/>
      <c r="W726" s="6" t="s">
        <v>2456</v>
      </c>
    </row>
    <row r="727" spans="1:23" x14ac:dyDescent="0.15">
      <c r="A727" s="2" t="s">
        <v>97</v>
      </c>
      <c r="B727" s="2" t="s">
        <v>3932</v>
      </c>
      <c r="C727" s="2" t="s">
        <v>977</v>
      </c>
      <c r="D727" s="2" t="s">
        <v>707</v>
      </c>
      <c r="E727" s="1"/>
      <c r="F727" s="2" t="s">
        <v>3611</v>
      </c>
      <c r="H727" s="2" t="s">
        <v>3887</v>
      </c>
      <c r="I727" s="5">
        <f>15.73/0.903541</f>
        <v>17.409281925225308</v>
      </c>
      <c r="J727" s="5">
        <f>0.00017*(I727*10)^2.96739</f>
        <v>758.08801804623499</v>
      </c>
      <c r="K727" s="5"/>
      <c r="L727" s="5">
        <v>6.4</v>
      </c>
      <c r="M727" s="2" t="s">
        <v>191</v>
      </c>
      <c r="N727" s="5">
        <v>35.5</v>
      </c>
      <c r="O727" s="5">
        <v>21.6</v>
      </c>
      <c r="P727" s="5">
        <v>10.199999999999999</v>
      </c>
      <c r="Q727" s="2" t="s">
        <v>18</v>
      </c>
      <c r="R727" s="5">
        <v>65.28</v>
      </c>
      <c r="S727" s="5">
        <f>(R727/J727)*100</f>
        <v>8.6111372882849917</v>
      </c>
      <c r="T727" s="2">
        <v>2.1</v>
      </c>
      <c r="U727" s="2" t="str">
        <f>IF(T727&lt;=1, "1",IF(AND(T727&gt;1,T727&lt;4), "2-3", "+4"))</f>
        <v>2-3</v>
      </c>
      <c r="V727" s="5">
        <f>S727*T727</f>
        <v>18.083388305398483</v>
      </c>
      <c r="W727" s="6" t="s">
        <v>2455</v>
      </c>
    </row>
    <row r="728" spans="1:23" x14ac:dyDescent="0.15">
      <c r="A728" s="2" t="s">
        <v>97</v>
      </c>
      <c r="B728" s="2" t="s">
        <v>3932</v>
      </c>
      <c r="C728" s="2" t="s">
        <v>977</v>
      </c>
      <c r="D728" s="2" t="s">
        <v>707</v>
      </c>
      <c r="E728" s="1"/>
      <c r="F728" s="2" t="s">
        <v>153</v>
      </c>
      <c r="G728" s="2">
        <v>43.67</v>
      </c>
      <c r="H728" s="2" t="str">
        <f t="shared" si="28"/>
        <v>W</v>
      </c>
      <c r="I728" s="5">
        <v>20.5</v>
      </c>
      <c r="J728" s="5">
        <v>1136</v>
      </c>
      <c r="K728" s="5">
        <v>8</v>
      </c>
      <c r="L728" s="5">
        <v>10.5</v>
      </c>
      <c r="M728" s="2" t="s">
        <v>191</v>
      </c>
      <c r="N728" s="5">
        <v>34</v>
      </c>
      <c r="O728" s="5">
        <v>21.84</v>
      </c>
      <c r="P728" s="5">
        <v>9.76</v>
      </c>
      <c r="Q728" s="2" t="s">
        <v>18</v>
      </c>
      <c r="R728" s="5">
        <v>102.48</v>
      </c>
      <c r="S728" s="5">
        <v>9.02</v>
      </c>
      <c r="T728" s="2">
        <v>2</v>
      </c>
      <c r="U728" s="2" t="str">
        <f>IF(T728&lt;=1, "1",IF(AND(T728&gt;1,T728&lt;4), "2-3", "+4"))</f>
        <v>2-3</v>
      </c>
      <c r="V728" s="5">
        <f>S728*T728</f>
        <v>18.04</v>
      </c>
      <c r="W728" s="6" t="s">
        <v>1809</v>
      </c>
    </row>
    <row r="729" spans="1:23" x14ac:dyDescent="0.15">
      <c r="A729" s="2" t="s">
        <v>97</v>
      </c>
      <c r="B729" s="2" t="s">
        <v>3932</v>
      </c>
      <c r="C729" s="2" t="s">
        <v>977</v>
      </c>
      <c r="D729" s="2" t="s">
        <v>707</v>
      </c>
      <c r="E729" s="1"/>
      <c r="F729" s="2" t="s">
        <v>1012</v>
      </c>
      <c r="G729" s="2">
        <v>33.89</v>
      </c>
      <c r="H729" s="2" t="str">
        <f t="shared" si="28"/>
        <v>W</v>
      </c>
      <c r="I729" s="5">
        <v>16.649999999999999</v>
      </c>
      <c r="J729" s="5">
        <f>0.00017*(I729*10)^2.96739</f>
        <v>664.12727498810773</v>
      </c>
      <c r="K729" s="7">
        <f>MEDIAN(5,6)</f>
        <v>5.5</v>
      </c>
      <c r="L729" s="5">
        <v>6.5</v>
      </c>
      <c r="M729" s="2" t="s">
        <v>191</v>
      </c>
      <c r="N729" s="5">
        <v>36.6</v>
      </c>
      <c r="O729" s="5">
        <v>21.8</v>
      </c>
      <c r="P729" s="5">
        <v>10.25</v>
      </c>
      <c r="Q729" s="2" t="s">
        <v>376</v>
      </c>
      <c r="R729" s="5">
        <v>66.599999999999994</v>
      </c>
      <c r="S729" s="5">
        <f>(R729/J729)*100</f>
        <v>10.028198284913472</v>
      </c>
      <c r="T729" s="2">
        <v>3</v>
      </c>
      <c r="U729" s="2" t="str">
        <f>IF(T729&lt;=1, "1",IF(AND(T729&gt;1,T729&lt;4), "2-3", "+4"))</f>
        <v>2-3</v>
      </c>
      <c r="V729" s="5">
        <f>S729*T729</f>
        <v>30.084594854740416</v>
      </c>
      <c r="W729" s="6" t="s">
        <v>2457</v>
      </c>
    </row>
    <row r="730" spans="1:23" x14ac:dyDescent="0.15">
      <c r="A730" s="2" t="s">
        <v>97</v>
      </c>
      <c r="B730" s="2" t="s">
        <v>3932</v>
      </c>
      <c r="C730" s="2" t="s">
        <v>977</v>
      </c>
      <c r="D730" s="2" t="s">
        <v>708</v>
      </c>
      <c r="E730" s="1"/>
      <c r="F730" s="2" t="s">
        <v>156</v>
      </c>
      <c r="G730" s="2">
        <v>32.5</v>
      </c>
      <c r="H730" s="2" t="str">
        <f t="shared" si="28"/>
        <v>W</v>
      </c>
      <c r="I730" s="5"/>
      <c r="J730" s="5"/>
      <c r="K730" s="5"/>
      <c r="L730" s="5">
        <v>6.4</v>
      </c>
      <c r="M730" s="2" t="s">
        <v>191</v>
      </c>
      <c r="N730" s="5">
        <v>40.1</v>
      </c>
      <c r="O730" s="5">
        <v>26.8</v>
      </c>
      <c r="P730" s="5">
        <v>16.399999999999999</v>
      </c>
      <c r="Q730" s="2" t="s">
        <v>18</v>
      </c>
      <c r="R730" s="5">
        <f>P730*L730</f>
        <v>104.96</v>
      </c>
      <c r="S730" s="5"/>
      <c r="V730" s="5"/>
      <c r="W730" s="6" t="s">
        <v>3553</v>
      </c>
    </row>
    <row r="731" spans="1:23" x14ac:dyDescent="0.15">
      <c r="A731" s="2" t="s">
        <v>97</v>
      </c>
      <c r="B731" s="2" t="s">
        <v>3932</v>
      </c>
      <c r="C731" s="2" t="s">
        <v>977</v>
      </c>
      <c r="D731" s="2" t="s">
        <v>708</v>
      </c>
      <c r="E731" s="1" t="s">
        <v>3707</v>
      </c>
      <c r="F731" s="2" t="s">
        <v>156</v>
      </c>
      <c r="G731" s="2">
        <v>31.89</v>
      </c>
      <c r="H731" s="2" t="str">
        <f t="shared" si="28"/>
        <v>W</v>
      </c>
      <c r="I731" s="5">
        <f>EXP(LN(J731/0.00011)/3.037)/10</f>
        <v>23.428329208357987</v>
      </c>
      <c r="J731" s="5">
        <v>1731</v>
      </c>
      <c r="K731" s="5">
        <v>8</v>
      </c>
      <c r="L731" s="5">
        <v>6.4</v>
      </c>
      <c r="M731" s="2" t="s">
        <v>191</v>
      </c>
      <c r="N731" s="5">
        <v>38.4</v>
      </c>
      <c r="O731" s="5">
        <v>25.9</v>
      </c>
      <c r="P731" s="5">
        <v>15.4</v>
      </c>
      <c r="Q731" s="2" t="s">
        <v>18</v>
      </c>
      <c r="R731" s="5">
        <v>95.1</v>
      </c>
      <c r="S731" s="5">
        <v>6</v>
      </c>
      <c r="T731" s="2" t="s">
        <v>122</v>
      </c>
      <c r="V731" s="5"/>
      <c r="W731" s="6" t="s">
        <v>4046</v>
      </c>
    </row>
    <row r="732" spans="1:23" x14ac:dyDescent="0.15">
      <c r="A732" s="2" t="s">
        <v>97</v>
      </c>
      <c r="B732" s="2" t="s">
        <v>3932</v>
      </c>
      <c r="C732" s="2" t="s">
        <v>977</v>
      </c>
      <c r="D732" s="2" t="s">
        <v>709</v>
      </c>
      <c r="E732" s="1" t="s">
        <v>982</v>
      </c>
      <c r="F732" s="2" t="s">
        <v>374</v>
      </c>
      <c r="G732" s="2" t="s">
        <v>374</v>
      </c>
      <c r="H732" s="2" t="str">
        <f t="shared" si="28"/>
        <v>C</v>
      </c>
      <c r="I732" s="5">
        <v>15.79</v>
      </c>
      <c r="J732" s="5">
        <v>528</v>
      </c>
      <c r="K732" s="5"/>
      <c r="L732" s="5">
        <v>3.67</v>
      </c>
      <c r="M732" s="2" t="s">
        <v>191</v>
      </c>
      <c r="N732" s="5"/>
      <c r="O732" s="5"/>
      <c r="P732" s="5"/>
      <c r="R732" s="5"/>
      <c r="S732" s="5"/>
      <c r="T732" s="2" t="s">
        <v>399</v>
      </c>
      <c r="V732" s="5"/>
      <c r="W732" s="6" t="s">
        <v>2373</v>
      </c>
    </row>
    <row r="733" spans="1:23" x14ac:dyDescent="0.15">
      <c r="A733" s="2" t="s">
        <v>97</v>
      </c>
      <c r="B733" s="2" t="s">
        <v>3932</v>
      </c>
      <c r="C733" s="2" t="s">
        <v>977</v>
      </c>
      <c r="D733" s="2" t="s">
        <v>709</v>
      </c>
      <c r="E733" s="1" t="s">
        <v>4462</v>
      </c>
      <c r="F733" s="2" t="s">
        <v>3611</v>
      </c>
      <c r="H733" s="2" t="s">
        <v>3887</v>
      </c>
      <c r="I733" s="5">
        <f>16.8/0.903541</f>
        <v>18.593511528530527</v>
      </c>
      <c r="J733" s="5">
        <f xml:space="preserve"> 0.00017*(I733*10)^2.9673</f>
        <v>921.13875601218626</v>
      </c>
      <c r="K733" s="5"/>
      <c r="L733" s="5">
        <v>6.6</v>
      </c>
      <c r="M733" s="2" t="s">
        <v>191</v>
      </c>
      <c r="N733" s="5">
        <v>36.4</v>
      </c>
      <c r="O733" s="5">
        <v>22.4</v>
      </c>
      <c r="P733" s="5">
        <v>10.3</v>
      </c>
      <c r="Q733" s="2" t="s">
        <v>18</v>
      </c>
      <c r="R733" s="5">
        <v>67.98</v>
      </c>
      <c r="S733" s="5">
        <f>(R733/J733)*100</f>
        <v>7.3799956365206576</v>
      </c>
      <c r="T733" s="2">
        <v>2.2999999999999998</v>
      </c>
      <c r="U733" s="2" t="str">
        <f>IF(T733&lt;=1, "1",IF(AND(T733&gt;1,T733&lt;4), "2-3", "+4"))</f>
        <v>2-3</v>
      </c>
      <c r="V733" s="5">
        <f>S733*T733</f>
        <v>16.973989963997511</v>
      </c>
      <c r="W733" s="6" t="s">
        <v>3315</v>
      </c>
    </row>
    <row r="734" spans="1:23" x14ac:dyDescent="0.15">
      <c r="A734" s="2" t="s">
        <v>97</v>
      </c>
      <c r="B734" s="2" t="s">
        <v>3932</v>
      </c>
      <c r="C734" s="2" t="s">
        <v>977</v>
      </c>
      <c r="D734" s="2" t="s">
        <v>709</v>
      </c>
      <c r="E734" s="1" t="s">
        <v>982</v>
      </c>
      <c r="F734" s="2" t="s">
        <v>188</v>
      </c>
      <c r="H734" s="2" t="s">
        <v>3887</v>
      </c>
      <c r="I734" s="5"/>
      <c r="J734" s="5"/>
      <c r="K734" s="5"/>
      <c r="L734" s="5">
        <v>11</v>
      </c>
      <c r="M734" s="2" t="s">
        <v>191</v>
      </c>
      <c r="N734" s="5">
        <v>34.42</v>
      </c>
      <c r="O734" s="5">
        <v>23.16</v>
      </c>
      <c r="P734" s="5">
        <f xml:space="preserve"> 0.388*N734 + 0.608*O734 - 17.035</f>
        <v>10.401240000000001</v>
      </c>
      <c r="Q734" s="2" t="s">
        <v>376</v>
      </c>
      <c r="R734" s="5">
        <v>114.41</v>
      </c>
      <c r="S734" s="5"/>
      <c r="V734" s="5"/>
      <c r="W734" s="6" t="s">
        <v>2781</v>
      </c>
    </row>
    <row r="735" spans="1:23" x14ac:dyDescent="0.15">
      <c r="A735" s="2" t="s">
        <v>97</v>
      </c>
      <c r="B735" s="2" t="s">
        <v>3932</v>
      </c>
      <c r="C735" s="2" t="s">
        <v>977</v>
      </c>
      <c r="D735" s="2" t="s">
        <v>709</v>
      </c>
      <c r="E735" s="1" t="s">
        <v>982</v>
      </c>
      <c r="F735" s="2" t="s">
        <v>188</v>
      </c>
      <c r="G735" s="2">
        <v>42.86</v>
      </c>
      <c r="H735" s="2" t="str">
        <f t="shared" si="28"/>
        <v>W</v>
      </c>
      <c r="I735" s="5"/>
      <c r="J735" s="5"/>
      <c r="K735" s="5"/>
      <c r="L735" s="5">
        <v>11.2</v>
      </c>
      <c r="M735" s="2" t="s">
        <v>191</v>
      </c>
      <c r="N735" s="5">
        <v>37.6</v>
      </c>
      <c r="O735" s="5">
        <v>24.4</v>
      </c>
      <c r="P735" s="5">
        <v>12.5</v>
      </c>
      <c r="Q735" s="2" t="s">
        <v>18</v>
      </c>
      <c r="R735" s="5">
        <v>137.5</v>
      </c>
      <c r="S735" s="5"/>
      <c r="T735" s="2">
        <v>2</v>
      </c>
      <c r="U735" s="2" t="str">
        <f>IF(T735&lt;=1, "1",IF(AND(T735&gt;1,T735&lt;4), "2-3", "+4"))</f>
        <v>2-3</v>
      </c>
      <c r="V735" s="5"/>
      <c r="W735" s="6" t="s">
        <v>3303</v>
      </c>
    </row>
    <row r="736" spans="1:23" x14ac:dyDescent="0.15">
      <c r="A736" s="2" t="s">
        <v>97</v>
      </c>
      <c r="B736" s="2" t="s">
        <v>3932</v>
      </c>
      <c r="C736" s="2" t="s">
        <v>977</v>
      </c>
      <c r="D736" s="2" t="s">
        <v>709</v>
      </c>
      <c r="E736" s="1" t="s">
        <v>982</v>
      </c>
      <c r="F736" s="2" t="s">
        <v>2431</v>
      </c>
      <c r="H736" s="2" t="s">
        <v>3887</v>
      </c>
      <c r="I736" s="5">
        <f>20.2/0.903541</f>
        <v>22.356484099780751</v>
      </c>
      <c r="J736" s="5">
        <f xml:space="preserve"> 0.00017*(I736*10)^2.9673</f>
        <v>1591.6000425971849</v>
      </c>
      <c r="K736" s="5"/>
      <c r="L736" s="5">
        <v>10.9</v>
      </c>
      <c r="M736" s="2" t="s">
        <v>191</v>
      </c>
      <c r="N736" s="5">
        <v>36.1</v>
      </c>
      <c r="O736" s="5">
        <v>23.9</v>
      </c>
      <c r="P736" s="5">
        <v>11.503</v>
      </c>
      <c r="Q736" s="2" t="s">
        <v>376</v>
      </c>
      <c r="R736" s="5">
        <v>125.38</v>
      </c>
      <c r="S736" s="5">
        <f>(R736/J736)*100</f>
        <v>7.8776072282207261</v>
      </c>
      <c r="V736" s="5"/>
      <c r="W736" s="6" t="s">
        <v>3141</v>
      </c>
    </row>
    <row r="737" spans="1:23" x14ac:dyDescent="0.15">
      <c r="A737" s="2" t="s">
        <v>97</v>
      </c>
      <c r="B737" s="2" t="s">
        <v>3932</v>
      </c>
      <c r="C737" s="2" t="s">
        <v>977</v>
      </c>
      <c r="D737" s="2" t="s">
        <v>709</v>
      </c>
      <c r="E737" s="1" t="s">
        <v>982</v>
      </c>
      <c r="F737" s="2" t="s">
        <v>158</v>
      </c>
      <c r="G737" s="2">
        <v>43.66</v>
      </c>
      <c r="H737" s="2" t="str">
        <f t="shared" si="28"/>
        <v>W</v>
      </c>
      <c r="I737" s="5"/>
      <c r="J737" s="5"/>
      <c r="K737" s="5"/>
      <c r="L737" s="5">
        <v>12.8</v>
      </c>
      <c r="M737" s="2" t="s">
        <v>191</v>
      </c>
      <c r="N737" s="5"/>
      <c r="O737" s="5"/>
      <c r="P737" s="5">
        <v>10.9</v>
      </c>
      <c r="Q737" s="2" t="s">
        <v>18</v>
      </c>
      <c r="R737" s="5">
        <v>139.52000000000001</v>
      </c>
      <c r="S737" s="5"/>
      <c r="V737" s="5"/>
      <c r="W737" s="6" t="s">
        <v>2456</v>
      </c>
    </row>
    <row r="738" spans="1:23" x14ac:dyDescent="0.15">
      <c r="A738" s="2" t="s">
        <v>97</v>
      </c>
      <c r="B738" s="2" t="s">
        <v>3932</v>
      </c>
      <c r="C738" s="2" t="s">
        <v>977</v>
      </c>
      <c r="D738" s="2" t="s">
        <v>709</v>
      </c>
      <c r="E738" s="1" t="s">
        <v>982</v>
      </c>
      <c r="F738" s="2" t="s">
        <v>188</v>
      </c>
      <c r="H738" s="2" t="s">
        <v>3887</v>
      </c>
      <c r="I738" s="5">
        <v>22.8</v>
      </c>
      <c r="J738" s="5">
        <f xml:space="preserve"> 0.00017*(I738*10)^2.9673</f>
        <v>1687.1317283574251</v>
      </c>
      <c r="K738" s="5"/>
      <c r="L738" s="5">
        <v>13</v>
      </c>
      <c r="M738" s="2" t="s">
        <v>191</v>
      </c>
      <c r="N738" s="5">
        <v>35</v>
      </c>
      <c r="O738" s="5">
        <v>23</v>
      </c>
      <c r="P738" s="5">
        <f xml:space="preserve"> 0.388*N738 + 0.608*O738 - 17.035</f>
        <v>10.529</v>
      </c>
      <c r="Q738" s="2" t="s">
        <v>376</v>
      </c>
      <c r="R738" s="5">
        <v>136.88</v>
      </c>
      <c r="S738" s="5">
        <f>(R738/J738)*100</f>
        <v>8.1131779871904257</v>
      </c>
      <c r="T738" s="9">
        <f>MEDIAN(1,2)</f>
        <v>1.5</v>
      </c>
      <c r="U738" s="2" t="str">
        <f>IF(T738&lt;=1, "1",IF(AND(T738&gt;1,T738&lt;4), "2-3", "+4"))</f>
        <v>2-3</v>
      </c>
      <c r="V738" s="5">
        <f>S738*T738</f>
        <v>12.169766980785639</v>
      </c>
      <c r="W738" s="6" t="s">
        <v>2782</v>
      </c>
    </row>
    <row r="739" spans="1:23" x14ac:dyDescent="0.15">
      <c r="A739" s="2" t="s">
        <v>97</v>
      </c>
      <c r="B739" s="2" t="s">
        <v>3932</v>
      </c>
      <c r="C739" s="2" t="s">
        <v>977</v>
      </c>
      <c r="D739" s="2" t="s">
        <v>709</v>
      </c>
      <c r="E739" s="1" t="s">
        <v>982</v>
      </c>
      <c r="F739" s="2" t="s">
        <v>153</v>
      </c>
      <c r="G739" s="2">
        <v>43.67</v>
      </c>
      <c r="H739" s="2" t="str">
        <f t="shared" si="28"/>
        <v>W</v>
      </c>
      <c r="I739" s="5">
        <v>22.5</v>
      </c>
      <c r="J739" s="5">
        <v>1477</v>
      </c>
      <c r="K739" s="5">
        <v>8</v>
      </c>
      <c r="L739" s="5">
        <v>14.1</v>
      </c>
      <c r="M739" s="2" t="s">
        <v>191</v>
      </c>
      <c r="N739" s="5">
        <v>34.31</v>
      </c>
      <c r="O739" s="5">
        <v>22</v>
      </c>
      <c r="P739" s="5">
        <v>9.7799999999999994</v>
      </c>
      <c r="Q739" s="2" t="s">
        <v>18</v>
      </c>
      <c r="R739" s="5">
        <v>137.898</v>
      </c>
      <c r="S739" s="5">
        <f>(R739/J739)*100</f>
        <v>9.336357481381178</v>
      </c>
      <c r="T739" s="2">
        <v>2</v>
      </c>
      <c r="U739" s="2" t="str">
        <f>IF(T739&lt;=1, "1",IF(AND(T739&gt;1,T739&lt;4), "2-3", "+4"))</f>
        <v>2-3</v>
      </c>
      <c r="V739" s="5">
        <f>S739*T739</f>
        <v>18.672714962762356</v>
      </c>
      <c r="W739" s="6" t="s">
        <v>1809</v>
      </c>
    </row>
    <row r="740" spans="1:23" x14ac:dyDescent="0.15">
      <c r="A740" s="2" t="s">
        <v>97</v>
      </c>
      <c r="B740" s="2" t="s">
        <v>3932</v>
      </c>
      <c r="C740" s="2" t="s">
        <v>977</v>
      </c>
      <c r="D740" s="2" t="s">
        <v>547</v>
      </c>
      <c r="E740" s="1"/>
      <c r="F740" s="2" t="s">
        <v>175</v>
      </c>
      <c r="H740" s="2" t="s">
        <v>3887</v>
      </c>
      <c r="I740" s="5"/>
      <c r="J740" s="5"/>
      <c r="K740" s="5">
        <v>14</v>
      </c>
      <c r="L740" s="5"/>
      <c r="N740" s="5"/>
      <c r="O740" s="5"/>
      <c r="P740" s="5"/>
      <c r="R740" s="5"/>
      <c r="S740" s="5"/>
      <c r="V740" s="5"/>
      <c r="W740" s="6" t="s">
        <v>4065</v>
      </c>
    </row>
    <row r="741" spans="1:23" x14ac:dyDescent="0.15">
      <c r="A741" s="2" t="s">
        <v>97</v>
      </c>
      <c r="B741" s="2" t="s">
        <v>3932</v>
      </c>
      <c r="C741" s="2" t="s">
        <v>977</v>
      </c>
      <c r="D741" s="2" t="s">
        <v>547</v>
      </c>
      <c r="E741" s="1"/>
      <c r="F741" s="2" t="s">
        <v>374</v>
      </c>
      <c r="G741" s="2" t="s">
        <v>374</v>
      </c>
      <c r="H741" s="2" t="str">
        <f t="shared" ref="H741:H787" si="29">IF(G741="captive","C","W")</f>
        <v>C</v>
      </c>
      <c r="I741" s="5"/>
      <c r="J741" s="5"/>
      <c r="K741" s="5"/>
      <c r="L741" s="5">
        <v>3.54</v>
      </c>
      <c r="M741" s="2" t="s">
        <v>191</v>
      </c>
      <c r="N741" s="5"/>
      <c r="O741" s="5">
        <f>(P741+10.614)/1.0202</f>
        <v>26.45951774161929</v>
      </c>
      <c r="P741" s="5">
        <v>16.38</v>
      </c>
      <c r="Q741" s="2" t="s">
        <v>18</v>
      </c>
      <c r="R741" s="5">
        <f>P741*L741</f>
        <v>57.985199999999999</v>
      </c>
      <c r="S741" s="5"/>
      <c r="T741" s="9">
        <f>MEDIAN(1,2)</f>
        <v>1.5</v>
      </c>
      <c r="U741" s="2" t="str">
        <f>IF(T741&lt;=1, "1",IF(AND(T741&gt;1,T741&lt;4), "2-3", "+4"))</f>
        <v>2-3</v>
      </c>
      <c r="V741" s="5"/>
      <c r="W741" s="6" t="s">
        <v>2248</v>
      </c>
    </row>
    <row r="742" spans="1:23" x14ac:dyDescent="0.15">
      <c r="A742" s="2" t="s">
        <v>97</v>
      </c>
      <c r="B742" s="2" t="s">
        <v>3932</v>
      </c>
      <c r="C742" s="2" t="s">
        <v>977</v>
      </c>
      <c r="D742" s="2" t="s">
        <v>547</v>
      </c>
      <c r="E742" s="1"/>
      <c r="F742" s="2" t="s">
        <v>175</v>
      </c>
      <c r="H742" s="2" t="s">
        <v>3887</v>
      </c>
      <c r="I742" s="5">
        <f>(199.6*1.147)/10</f>
        <v>22.894120000000001</v>
      </c>
      <c r="J742" s="5">
        <f xml:space="preserve"> 0.00011*((I742*10)^3.037)</f>
        <v>1613.891506607413</v>
      </c>
      <c r="K742" s="5"/>
      <c r="L742" s="5">
        <v>5.4</v>
      </c>
      <c r="M742" s="2" t="s">
        <v>191</v>
      </c>
      <c r="N742" s="5"/>
      <c r="O742" s="5">
        <v>24.5</v>
      </c>
      <c r="P742" s="5">
        <v>14.38</v>
      </c>
      <c r="Q742" s="2" t="s">
        <v>376</v>
      </c>
      <c r="R742" s="5">
        <v>77.66</v>
      </c>
      <c r="S742" s="5">
        <f>(R742/J742)*100</f>
        <v>4.8119715409650006</v>
      </c>
      <c r="V742" s="5"/>
      <c r="W742" s="6" t="s">
        <v>2454</v>
      </c>
    </row>
    <row r="743" spans="1:23" x14ac:dyDescent="0.15">
      <c r="A743" s="1" t="s">
        <v>97</v>
      </c>
      <c r="B743" s="2" t="s">
        <v>3932</v>
      </c>
      <c r="C743" s="1" t="s">
        <v>977</v>
      </c>
      <c r="D743" s="1" t="s">
        <v>547</v>
      </c>
      <c r="E743" s="1"/>
      <c r="F743" s="1" t="s">
        <v>175</v>
      </c>
      <c r="G743" s="1">
        <v>32.4</v>
      </c>
      <c r="H743" s="2" t="str">
        <f t="shared" si="29"/>
        <v>W</v>
      </c>
      <c r="I743" s="8">
        <v>22.26</v>
      </c>
      <c r="J743" s="8">
        <v>1481.1</v>
      </c>
      <c r="K743" s="8"/>
      <c r="L743" s="8">
        <v>5.4</v>
      </c>
      <c r="M743" s="1" t="s">
        <v>191</v>
      </c>
      <c r="N743" s="8">
        <v>35.874000000000002</v>
      </c>
      <c r="O743" s="8">
        <v>24.6</v>
      </c>
      <c r="P743" s="8">
        <v>14.483000000000001</v>
      </c>
      <c r="Q743" s="1" t="s">
        <v>376</v>
      </c>
      <c r="R743" s="8">
        <v>78.207999999999998</v>
      </c>
      <c r="S743" s="8">
        <v>5.28</v>
      </c>
      <c r="T743" s="1"/>
      <c r="U743" s="1"/>
      <c r="V743" s="8"/>
      <c r="W743" s="6" t="s">
        <v>3637</v>
      </c>
    </row>
    <row r="744" spans="1:23" x14ac:dyDescent="0.15">
      <c r="A744" s="2" t="s">
        <v>97</v>
      </c>
      <c r="B744" s="2" t="s">
        <v>3932</v>
      </c>
      <c r="C744" s="2" t="s">
        <v>977</v>
      </c>
      <c r="D744" s="2" t="s">
        <v>710</v>
      </c>
      <c r="E744" s="1"/>
      <c r="F744" s="2" t="s">
        <v>374</v>
      </c>
      <c r="G744" s="2" t="s">
        <v>374</v>
      </c>
      <c r="H744" s="2" t="str">
        <f t="shared" si="29"/>
        <v>C</v>
      </c>
      <c r="I744" s="5">
        <v>13.08</v>
      </c>
      <c r="J744" s="5">
        <v>329</v>
      </c>
      <c r="K744" s="5"/>
      <c r="L744" s="5">
        <v>3</v>
      </c>
      <c r="M744" s="2" t="s">
        <v>191</v>
      </c>
      <c r="N744" s="5"/>
      <c r="O744" s="5"/>
      <c r="P744" s="5"/>
      <c r="R744" s="5"/>
      <c r="S744" s="5"/>
      <c r="T744" s="2">
        <v>1</v>
      </c>
      <c r="U744" s="2" t="str">
        <f>IF(T744&lt;=1, "1",IF(AND(T744&gt;1,T744&lt;4), "2-3", "+4"))</f>
        <v>1</v>
      </c>
      <c r="V744" s="5"/>
      <c r="W744" s="6" t="s">
        <v>2373</v>
      </c>
    </row>
    <row r="745" spans="1:23" x14ac:dyDescent="0.15">
      <c r="A745" s="2" t="s">
        <v>97</v>
      </c>
      <c r="B745" s="2" t="s">
        <v>3932</v>
      </c>
      <c r="C745" s="2" t="s">
        <v>977</v>
      </c>
      <c r="D745" s="2" t="s">
        <v>710</v>
      </c>
      <c r="E745" s="1"/>
      <c r="F745" s="2" t="s">
        <v>2231</v>
      </c>
      <c r="G745" s="2">
        <v>30.85</v>
      </c>
      <c r="H745" s="2" t="str">
        <f t="shared" si="29"/>
        <v>W</v>
      </c>
      <c r="I745" s="5"/>
      <c r="J745" s="5"/>
      <c r="K745" s="7"/>
      <c r="L745" s="5">
        <v>2.8</v>
      </c>
      <c r="M745" s="2" t="s">
        <v>191</v>
      </c>
      <c r="N745" s="5">
        <v>35.17</v>
      </c>
      <c r="O745" s="5">
        <v>21.86</v>
      </c>
      <c r="P745" s="5">
        <v>9.85</v>
      </c>
      <c r="Q745" s="2" t="s">
        <v>18</v>
      </c>
      <c r="R745" s="5">
        <v>27.85</v>
      </c>
      <c r="S745" s="5"/>
      <c r="T745" s="9">
        <f>MEDIAN(2,3)</f>
        <v>2.5</v>
      </c>
      <c r="U745" s="2" t="str">
        <f>IF(T745&lt;=1, "1",IF(AND(T745&gt;1,T745&lt;4), "2-3", "+4"))</f>
        <v>2-3</v>
      </c>
      <c r="V745" s="5"/>
      <c r="W745" s="6" t="s">
        <v>3360</v>
      </c>
    </row>
    <row r="746" spans="1:23" x14ac:dyDescent="0.15">
      <c r="A746" s="2" t="s">
        <v>97</v>
      </c>
      <c r="B746" s="2" t="s">
        <v>3932</v>
      </c>
      <c r="C746" s="2" t="s">
        <v>977</v>
      </c>
      <c r="D746" s="2" t="s">
        <v>710</v>
      </c>
      <c r="E746" s="1"/>
      <c r="F746" s="2" t="s">
        <v>161</v>
      </c>
      <c r="G746" s="2">
        <v>30</v>
      </c>
      <c r="H746" s="2" t="str">
        <f t="shared" si="29"/>
        <v>W</v>
      </c>
      <c r="I746" s="5">
        <f>12.12/0.9207</f>
        <v>13.163897034864776</v>
      </c>
      <c r="J746" s="5">
        <v>437.8</v>
      </c>
      <c r="K746" s="5"/>
      <c r="L746" s="5">
        <v>2</v>
      </c>
      <c r="M746" s="2" t="s">
        <v>191</v>
      </c>
      <c r="N746" s="5"/>
      <c r="O746" s="5"/>
      <c r="P746" s="5"/>
      <c r="R746" s="5"/>
      <c r="S746" s="5"/>
      <c r="V746" s="5"/>
      <c r="W746" s="6" t="s">
        <v>1964</v>
      </c>
    </row>
    <row r="747" spans="1:23" x14ac:dyDescent="0.15">
      <c r="A747" s="2" t="s">
        <v>97</v>
      </c>
      <c r="B747" s="2" t="s">
        <v>3932</v>
      </c>
      <c r="C747" s="2" t="s">
        <v>977</v>
      </c>
      <c r="D747" s="2" t="s">
        <v>710</v>
      </c>
      <c r="E747" s="1"/>
      <c r="F747" s="2" t="s">
        <v>159</v>
      </c>
      <c r="G747" s="2">
        <v>30</v>
      </c>
      <c r="H747" s="2" t="str">
        <f t="shared" si="29"/>
        <v>W</v>
      </c>
      <c r="I747" s="5">
        <f>12.73/0.9207</f>
        <v>13.82643640708157</v>
      </c>
      <c r="J747" s="5">
        <v>432.2</v>
      </c>
      <c r="K747" s="5"/>
      <c r="L747" s="5">
        <v>2.8</v>
      </c>
      <c r="M747" s="2" t="s">
        <v>191</v>
      </c>
      <c r="N747" s="5"/>
      <c r="O747" s="5"/>
      <c r="P747" s="5"/>
      <c r="R747" s="5"/>
      <c r="S747" s="5"/>
      <c r="V747" s="5"/>
      <c r="W747" s="6" t="s">
        <v>1964</v>
      </c>
    </row>
    <row r="748" spans="1:23" x14ac:dyDescent="0.15">
      <c r="A748" s="2" t="s">
        <v>97</v>
      </c>
      <c r="B748" s="2" t="s">
        <v>3932</v>
      </c>
      <c r="C748" s="2" t="s">
        <v>977</v>
      </c>
      <c r="D748" s="2" t="s">
        <v>710</v>
      </c>
      <c r="E748" s="1"/>
      <c r="F748" s="2" t="s">
        <v>162</v>
      </c>
      <c r="G748" s="2">
        <v>30</v>
      </c>
      <c r="H748" s="2" t="str">
        <f t="shared" si="29"/>
        <v>W</v>
      </c>
      <c r="I748" s="5">
        <f>16.59/0.9207</f>
        <v>18.018898664059954</v>
      </c>
      <c r="J748" s="5">
        <v>995.5</v>
      </c>
      <c r="K748" s="5"/>
      <c r="L748" s="5">
        <v>5.2</v>
      </c>
      <c r="M748" s="2" t="s">
        <v>191</v>
      </c>
      <c r="N748" s="5"/>
      <c r="O748" s="5"/>
      <c r="P748" s="5"/>
      <c r="R748" s="5"/>
      <c r="S748" s="5"/>
      <c r="V748" s="5"/>
      <c r="W748" s="6" t="s">
        <v>1964</v>
      </c>
    </row>
    <row r="749" spans="1:23" x14ac:dyDescent="0.15">
      <c r="A749" s="2" t="s">
        <v>97</v>
      </c>
      <c r="B749" s="2" t="s">
        <v>3932</v>
      </c>
      <c r="C749" s="2" t="s">
        <v>977</v>
      </c>
      <c r="D749" s="2" t="s">
        <v>710</v>
      </c>
      <c r="E749" s="1"/>
      <c r="F749" s="2" t="s">
        <v>163</v>
      </c>
      <c r="G749" s="2">
        <v>30</v>
      </c>
      <c r="H749" s="2" t="str">
        <f t="shared" si="29"/>
        <v>W</v>
      </c>
      <c r="I749" s="5">
        <f>16.57/0.9207</f>
        <v>17.997176061692191</v>
      </c>
      <c r="J749" s="5">
        <v>1006</v>
      </c>
      <c r="K749" s="5"/>
      <c r="L749" s="5">
        <v>5.4</v>
      </c>
      <c r="M749" s="2" t="s">
        <v>191</v>
      </c>
      <c r="N749" s="5"/>
      <c r="O749" s="5"/>
      <c r="P749" s="5"/>
      <c r="R749" s="5"/>
      <c r="S749" s="5"/>
      <c r="V749" s="5"/>
      <c r="W749" s="6" t="s">
        <v>1964</v>
      </c>
    </row>
    <row r="750" spans="1:23" x14ac:dyDescent="0.15">
      <c r="A750" s="2" t="s">
        <v>97</v>
      </c>
      <c r="B750" s="2" t="s">
        <v>3932</v>
      </c>
      <c r="C750" s="2" t="s">
        <v>977</v>
      </c>
      <c r="D750" s="2" t="s">
        <v>710</v>
      </c>
      <c r="E750" s="1"/>
      <c r="F750" s="2" t="s">
        <v>160</v>
      </c>
      <c r="G750" s="2">
        <v>30</v>
      </c>
      <c r="H750" s="2" t="str">
        <f t="shared" si="29"/>
        <v>W</v>
      </c>
      <c r="I750" s="5">
        <f>16.58/0.9207</f>
        <v>18.00803736287607</v>
      </c>
      <c r="J750" s="5">
        <v>1123.8</v>
      </c>
      <c r="K750" s="5"/>
      <c r="L750" s="5"/>
      <c r="M750" s="2" t="s">
        <v>191</v>
      </c>
      <c r="N750" s="5"/>
      <c r="O750" s="5"/>
      <c r="P750" s="5"/>
      <c r="R750" s="5"/>
      <c r="S750" s="5"/>
      <c r="V750" s="5"/>
      <c r="W750" s="6" t="s">
        <v>1964</v>
      </c>
    </row>
    <row r="751" spans="1:23" x14ac:dyDescent="0.15">
      <c r="A751" s="2" t="s">
        <v>97</v>
      </c>
      <c r="B751" s="2" t="s">
        <v>3932</v>
      </c>
      <c r="C751" s="2" t="s">
        <v>977</v>
      </c>
      <c r="D751" s="2" t="s">
        <v>710</v>
      </c>
      <c r="E751" s="1"/>
      <c r="F751" s="2" t="s">
        <v>330</v>
      </c>
      <c r="H751" s="2" t="s">
        <v>3887</v>
      </c>
      <c r="I751" s="5">
        <f>17.15/0.9207</f>
        <v>18.627131530357335</v>
      </c>
      <c r="J751" s="5">
        <f>0.00015*(I751*10)^3.01004</f>
        <v>1021.6954713680597</v>
      </c>
      <c r="K751" s="5"/>
      <c r="L751" s="5">
        <v>5.3</v>
      </c>
      <c r="M751" s="2" t="s">
        <v>191</v>
      </c>
      <c r="N751" s="5"/>
      <c r="O751" s="5">
        <v>23.5</v>
      </c>
      <c r="P751" s="5">
        <v>11.74</v>
      </c>
      <c r="Q751" s="2" t="s">
        <v>376</v>
      </c>
      <c r="R751" s="5">
        <v>62.25</v>
      </c>
      <c r="S751" s="5">
        <f>(R751/J751)*100</f>
        <v>6.0928135383282722</v>
      </c>
      <c r="V751" s="5"/>
      <c r="W751" s="6" t="s">
        <v>2454</v>
      </c>
    </row>
    <row r="752" spans="1:23" x14ac:dyDescent="0.15">
      <c r="A752" s="2" t="s">
        <v>97</v>
      </c>
      <c r="B752" s="2" t="s">
        <v>3932</v>
      </c>
      <c r="C752" s="2" t="s">
        <v>977</v>
      </c>
      <c r="D752" s="2" t="s">
        <v>548</v>
      </c>
      <c r="E752" s="1"/>
      <c r="F752" s="2" t="s">
        <v>374</v>
      </c>
      <c r="G752" s="2" t="s">
        <v>374</v>
      </c>
      <c r="H752" s="2" t="str">
        <f t="shared" si="29"/>
        <v>C</v>
      </c>
      <c r="I752" s="5"/>
      <c r="J752" s="5"/>
      <c r="K752" s="5"/>
      <c r="L752" s="5">
        <v>4.63</v>
      </c>
      <c r="M752" s="2" t="s">
        <v>191</v>
      </c>
      <c r="N752" s="5">
        <f>(P752+9.5)/0.5</f>
        <v>40.36</v>
      </c>
      <c r="O752" s="5"/>
      <c r="P752" s="5">
        <v>10.68</v>
      </c>
      <c r="Q752" s="2" t="s">
        <v>18</v>
      </c>
      <c r="R752" s="5">
        <v>49.45</v>
      </c>
      <c r="S752" s="5"/>
      <c r="T752" s="9">
        <f>MEDIAN(1,5)</f>
        <v>3</v>
      </c>
      <c r="U752" s="2" t="str">
        <f>IF(T752&lt;=1, "1",IF(AND(T752&gt;1,T752&lt;4), "2-3", "+4"))</f>
        <v>2-3</v>
      </c>
      <c r="V752" s="5"/>
      <c r="W752" s="6" t="s">
        <v>2248</v>
      </c>
    </row>
    <row r="753" spans="1:23" x14ac:dyDescent="0.15">
      <c r="A753" s="2" t="s">
        <v>97</v>
      </c>
      <c r="B753" s="2" t="s">
        <v>3932</v>
      </c>
      <c r="C753" s="2" t="s">
        <v>977</v>
      </c>
      <c r="D753" s="2" t="s">
        <v>548</v>
      </c>
      <c r="E753" s="1"/>
      <c r="F753" s="2" t="s">
        <v>229</v>
      </c>
      <c r="G753" s="2">
        <v>30.5</v>
      </c>
      <c r="H753" s="2" t="str">
        <f t="shared" si="29"/>
        <v>W</v>
      </c>
      <c r="I753" s="5">
        <v>13.65</v>
      </c>
      <c r="J753" s="5">
        <f xml:space="preserve"> 0.00015*(I753*10)^3.01004</f>
        <v>400.79836849369644</v>
      </c>
      <c r="K753" s="5">
        <v>7</v>
      </c>
      <c r="L753" s="5">
        <v>5.6</v>
      </c>
      <c r="M753" s="2" t="s">
        <v>191</v>
      </c>
      <c r="N753" s="5">
        <v>35.26</v>
      </c>
      <c r="O753" s="5">
        <v>20.87</v>
      </c>
      <c r="P753" s="5">
        <v>9.0500000000000007</v>
      </c>
      <c r="Q753" s="2" t="s">
        <v>376</v>
      </c>
      <c r="R753" s="5">
        <v>50.71</v>
      </c>
      <c r="S753" s="5">
        <f>(R753/J753)*100</f>
        <v>12.652247111329631</v>
      </c>
      <c r="V753" s="5"/>
      <c r="W753" s="6" t="s">
        <v>3213</v>
      </c>
    </row>
    <row r="754" spans="1:23" x14ac:dyDescent="0.15">
      <c r="A754" s="2" t="s">
        <v>97</v>
      </c>
      <c r="B754" s="2" t="s">
        <v>3932</v>
      </c>
      <c r="C754" s="2" t="s">
        <v>977</v>
      </c>
      <c r="D754" s="2" t="s">
        <v>548</v>
      </c>
      <c r="E754" s="1"/>
      <c r="F754" s="2" t="s">
        <v>164</v>
      </c>
      <c r="G754" s="2">
        <v>31</v>
      </c>
      <c r="H754" s="2" t="str">
        <f t="shared" si="29"/>
        <v>W</v>
      </c>
      <c r="I754" s="5">
        <v>15.03</v>
      </c>
      <c r="J754" s="5">
        <f xml:space="preserve"> 0.00015*(I754*10)^3.01004</f>
        <v>535.58063888727736</v>
      </c>
      <c r="K754" s="5"/>
      <c r="L754" s="5">
        <v>5.6</v>
      </c>
      <c r="M754" s="2" t="s">
        <v>191</v>
      </c>
      <c r="N754" s="5"/>
      <c r="O754" s="5">
        <v>20.7</v>
      </c>
      <c r="P754" s="5"/>
      <c r="R754" s="5"/>
      <c r="S754" s="5"/>
      <c r="T754" s="2" t="s">
        <v>122</v>
      </c>
      <c r="V754" s="5"/>
      <c r="W754" s="6" t="s">
        <v>1960</v>
      </c>
    </row>
    <row r="755" spans="1:23" x14ac:dyDescent="0.15">
      <c r="A755" s="2" t="s">
        <v>97</v>
      </c>
      <c r="B755" s="2" t="s">
        <v>3932</v>
      </c>
      <c r="C755" s="2" t="s">
        <v>985</v>
      </c>
      <c r="D755" s="2" t="s">
        <v>542</v>
      </c>
      <c r="E755" s="1" t="s">
        <v>4038</v>
      </c>
      <c r="F755" s="2" t="s">
        <v>123</v>
      </c>
      <c r="G755" s="2">
        <v>32.78</v>
      </c>
      <c r="H755" s="2" t="str">
        <f t="shared" si="29"/>
        <v>W</v>
      </c>
      <c r="I755" s="5"/>
      <c r="J755" s="5"/>
      <c r="K755" s="5"/>
      <c r="L755" s="5">
        <v>6</v>
      </c>
      <c r="M755" s="2" t="s">
        <v>191</v>
      </c>
      <c r="N755" s="5">
        <v>36.299999999999997</v>
      </c>
      <c r="O755" s="5">
        <v>21.8</v>
      </c>
      <c r="P755" s="5">
        <v>10.4</v>
      </c>
      <c r="Q755" s="2" t="s">
        <v>18</v>
      </c>
      <c r="R755" s="5">
        <v>62.4</v>
      </c>
      <c r="S755" s="5"/>
      <c r="V755" s="5"/>
      <c r="W755" s="6" t="s">
        <v>3214</v>
      </c>
    </row>
    <row r="756" spans="1:23" x14ac:dyDescent="0.15">
      <c r="A756" s="2" t="s">
        <v>97</v>
      </c>
      <c r="B756" s="2" t="s">
        <v>3932</v>
      </c>
      <c r="C756" s="2" t="s">
        <v>985</v>
      </c>
      <c r="D756" s="2" t="s">
        <v>542</v>
      </c>
      <c r="E756" s="1" t="s">
        <v>986</v>
      </c>
      <c r="F756" s="2" t="s">
        <v>148</v>
      </c>
      <c r="G756" s="2">
        <v>38.450000000000003</v>
      </c>
      <c r="H756" s="2" t="str">
        <f t="shared" si="29"/>
        <v>W</v>
      </c>
      <c r="I756" s="5"/>
      <c r="J756" s="5"/>
      <c r="K756" s="5"/>
      <c r="L756" s="5">
        <v>12.2</v>
      </c>
      <c r="M756" s="2" t="s">
        <v>191</v>
      </c>
      <c r="N756" s="5">
        <v>34.299999999999997</v>
      </c>
      <c r="O756" s="5">
        <v>21.2</v>
      </c>
      <c r="P756" s="5">
        <v>9.9</v>
      </c>
      <c r="Q756" s="2" t="s">
        <v>18</v>
      </c>
      <c r="R756" s="5">
        <v>121.2</v>
      </c>
      <c r="S756" s="5"/>
      <c r="V756" s="5"/>
      <c r="W756" s="6" t="s">
        <v>3214</v>
      </c>
    </row>
    <row r="757" spans="1:23" x14ac:dyDescent="0.15">
      <c r="A757" s="2" t="s">
        <v>97</v>
      </c>
      <c r="B757" s="2" t="s">
        <v>3932</v>
      </c>
      <c r="C757" s="2" t="s">
        <v>985</v>
      </c>
      <c r="D757" s="2" t="s">
        <v>542</v>
      </c>
      <c r="E757" s="1" t="s">
        <v>986</v>
      </c>
      <c r="F757" s="2" t="s">
        <v>889</v>
      </c>
      <c r="G757" s="2">
        <v>41.75</v>
      </c>
      <c r="H757" s="2" t="str">
        <f t="shared" si="29"/>
        <v>W</v>
      </c>
      <c r="I757" s="5"/>
      <c r="J757" s="5"/>
      <c r="K757" s="5"/>
      <c r="L757" s="5">
        <v>16.100000000000001</v>
      </c>
      <c r="M757" s="2" t="s">
        <v>191</v>
      </c>
      <c r="N757" s="5">
        <v>32.9</v>
      </c>
      <c r="O757" s="5">
        <v>20.9</v>
      </c>
      <c r="P757" s="5">
        <v>8.4</v>
      </c>
      <c r="Q757" s="2" t="s">
        <v>18</v>
      </c>
      <c r="R757" s="5">
        <v>135.6</v>
      </c>
      <c r="S757" s="5"/>
      <c r="V757" s="5"/>
      <c r="W757" s="6" t="s">
        <v>3214</v>
      </c>
    </row>
    <row r="758" spans="1:23" x14ac:dyDescent="0.15">
      <c r="A758" s="2" t="s">
        <v>97</v>
      </c>
      <c r="B758" s="2" t="s">
        <v>3932</v>
      </c>
      <c r="C758" s="2" t="s">
        <v>985</v>
      </c>
      <c r="D758" s="2" t="s">
        <v>542</v>
      </c>
      <c r="E758" s="1" t="s">
        <v>986</v>
      </c>
      <c r="F758" s="2" t="s">
        <v>2267</v>
      </c>
      <c r="G758" s="2">
        <v>41.3</v>
      </c>
      <c r="H758" s="2" t="str">
        <f t="shared" si="29"/>
        <v>W</v>
      </c>
      <c r="I758" s="5">
        <v>18.309999999999999</v>
      </c>
      <c r="J758" s="5">
        <v>1116</v>
      </c>
      <c r="K758" s="5"/>
      <c r="L758" s="5">
        <v>9.6</v>
      </c>
      <c r="M758" s="2" t="s">
        <v>191</v>
      </c>
      <c r="N758" s="5"/>
      <c r="O758" s="5"/>
      <c r="P758" s="5"/>
      <c r="R758" s="5"/>
      <c r="S758" s="5"/>
      <c r="V758" s="5"/>
      <c r="W758" s="6" t="s">
        <v>2376</v>
      </c>
    </row>
    <row r="759" spans="1:23" x14ac:dyDescent="0.15">
      <c r="A759" s="2" t="s">
        <v>97</v>
      </c>
      <c r="B759" s="2" t="s">
        <v>3932</v>
      </c>
      <c r="C759" s="2" t="s">
        <v>985</v>
      </c>
      <c r="D759" s="2" t="s">
        <v>542</v>
      </c>
      <c r="E759" s="1" t="s">
        <v>986</v>
      </c>
      <c r="F759" s="2" t="s">
        <v>890</v>
      </c>
      <c r="G759" s="2">
        <v>39.5</v>
      </c>
      <c r="H759" s="2" t="str">
        <f t="shared" si="29"/>
        <v>W</v>
      </c>
      <c r="I759" s="5"/>
      <c r="J759" s="5"/>
      <c r="K759" s="5"/>
      <c r="L759" s="5">
        <v>9.1999999999999993</v>
      </c>
      <c r="M759" s="2" t="s">
        <v>191</v>
      </c>
      <c r="N759" s="5">
        <v>31.7</v>
      </c>
      <c r="O759" s="5">
        <v>19.899999999999999</v>
      </c>
      <c r="P759" s="5">
        <f xml:space="preserve"> (0.423*N759) + (0.464*O759) - 15.148</f>
        <v>7.4946999999999981</v>
      </c>
      <c r="Q759" s="2" t="s">
        <v>376</v>
      </c>
      <c r="R759" s="5">
        <f>P759*L759</f>
        <v>68.951239999999984</v>
      </c>
      <c r="S759" s="5"/>
      <c r="V759" s="5"/>
      <c r="W759" s="6" t="s">
        <v>2253</v>
      </c>
    </row>
    <row r="760" spans="1:23" x14ac:dyDescent="0.15">
      <c r="A760" s="2" t="s">
        <v>97</v>
      </c>
      <c r="B760" s="2" t="s">
        <v>3932</v>
      </c>
      <c r="C760" s="2" t="s">
        <v>985</v>
      </c>
      <c r="D760" s="2" t="s">
        <v>542</v>
      </c>
      <c r="E760" s="1" t="s">
        <v>986</v>
      </c>
      <c r="F760" s="2" t="s">
        <v>165</v>
      </c>
      <c r="G760" s="2">
        <v>40.61</v>
      </c>
      <c r="H760" s="2" t="str">
        <f t="shared" si="29"/>
        <v>W</v>
      </c>
      <c r="I760" s="5"/>
      <c r="J760" s="5"/>
      <c r="K760" s="5"/>
      <c r="L760" s="5">
        <v>12.78</v>
      </c>
      <c r="M760" s="2" t="s">
        <v>191</v>
      </c>
      <c r="N760" s="5"/>
      <c r="O760" s="5"/>
      <c r="P760" s="5"/>
      <c r="R760" s="5"/>
      <c r="S760" s="5"/>
      <c r="V760" s="5"/>
      <c r="W760" s="6" t="s">
        <v>1778</v>
      </c>
    </row>
    <row r="761" spans="1:23" x14ac:dyDescent="0.15">
      <c r="A761" s="2" t="s">
        <v>97</v>
      </c>
      <c r="B761" s="2" t="s">
        <v>3932</v>
      </c>
      <c r="C761" s="2" t="s">
        <v>985</v>
      </c>
      <c r="D761" s="2" t="s">
        <v>542</v>
      </c>
      <c r="E761" s="1" t="s">
        <v>986</v>
      </c>
      <c r="F761" s="2" t="s">
        <v>330</v>
      </c>
      <c r="G761" s="2">
        <v>29.83</v>
      </c>
      <c r="H761" s="2" t="str">
        <f t="shared" si="29"/>
        <v>W</v>
      </c>
      <c r="I761" s="5">
        <v>19.45</v>
      </c>
      <c r="J761" s="5">
        <v>1155</v>
      </c>
      <c r="K761" s="5"/>
      <c r="L761" s="5">
        <v>8.64</v>
      </c>
      <c r="M761" s="2" t="s">
        <v>191</v>
      </c>
      <c r="N761" s="5">
        <v>37.340000000000003</v>
      </c>
      <c r="O761" s="5">
        <v>23.96</v>
      </c>
      <c r="P761" s="5">
        <f xml:space="preserve"> (0.423*N761) + (0.464*O761) - 15.148</f>
        <v>11.764260000000004</v>
      </c>
      <c r="Q761" s="2" t="s">
        <v>376</v>
      </c>
      <c r="R761" s="5">
        <f>P761*L761</f>
        <v>101.64320640000004</v>
      </c>
      <c r="S761" s="5">
        <f>(R761/J761)*100</f>
        <v>8.8002776103896139</v>
      </c>
      <c r="V761" s="5"/>
      <c r="W761" s="6" t="s">
        <v>2254</v>
      </c>
    </row>
    <row r="762" spans="1:23" x14ac:dyDescent="0.15">
      <c r="A762" s="2" t="s">
        <v>97</v>
      </c>
      <c r="B762" s="2" t="s">
        <v>3932</v>
      </c>
      <c r="C762" s="2" t="s">
        <v>985</v>
      </c>
      <c r="D762" s="2" t="s">
        <v>542</v>
      </c>
      <c r="E762" s="1" t="s">
        <v>3482</v>
      </c>
      <c r="F762" s="4" t="s">
        <v>173</v>
      </c>
      <c r="G762" s="4">
        <v>26.5</v>
      </c>
      <c r="H762" s="2" t="str">
        <f t="shared" si="29"/>
        <v>W</v>
      </c>
      <c r="I762" s="5"/>
      <c r="J762" s="5"/>
      <c r="K762" s="33"/>
      <c r="L762" s="33">
        <v>6.15</v>
      </c>
      <c r="M762" s="2" t="s">
        <v>191</v>
      </c>
      <c r="N762" s="33"/>
      <c r="O762" s="33"/>
      <c r="P762" s="33"/>
      <c r="Q762" s="4"/>
      <c r="R762" s="33"/>
      <c r="S762" s="33"/>
      <c r="T762" s="4"/>
      <c r="U762" s="4"/>
      <c r="V762" s="33"/>
      <c r="W762" s="10" t="s">
        <v>1970</v>
      </c>
    </row>
    <row r="763" spans="1:23" x14ac:dyDescent="0.15">
      <c r="A763" s="2" t="s">
        <v>97</v>
      </c>
      <c r="B763" s="2" t="s">
        <v>3932</v>
      </c>
      <c r="C763" s="2" t="s">
        <v>985</v>
      </c>
      <c r="D763" s="2" t="s">
        <v>542</v>
      </c>
      <c r="E763" s="1" t="s">
        <v>4039</v>
      </c>
      <c r="F763" s="4" t="s">
        <v>4131</v>
      </c>
      <c r="G763" s="4">
        <v>29.75</v>
      </c>
      <c r="H763" s="2" t="str">
        <f t="shared" si="29"/>
        <v>W</v>
      </c>
      <c r="I763" s="5">
        <v>18.59</v>
      </c>
      <c r="J763" s="5">
        <v>1007.23</v>
      </c>
      <c r="K763" s="33"/>
      <c r="L763" s="33">
        <v>7.2</v>
      </c>
      <c r="M763" s="2" t="s">
        <v>191</v>
      </c>
      <c r="N763" s="33"/>
      <c r="O763" s="33">
        <v>21.9</v>
      </c>
      <c r="P763" s="33">
        <v>10.85</v>
      </c>
      <c r="Q763" s="4" t="s">
        <v>376</v>
      </c>
      <c r="R763" s="33">
        <v>78.14</v>
      </c>
      <c r="S763" s="33">
        <v>7.76</v>
      </c>
      <c r="T763" s="4">
        <v>1.8</v>
      </c>
      <c r="U763" s="42" t="s">
        <v>395</v>
      </c>
      <c r="V763" s="33">
        <v>13.96</v>
      </c>
      <c r="W763" s="10" t="s">
        <v>4132</v>
      </c>
    </row>
    <row r="764" spans="1:23" x14ac:dyDescent="0.15">
      <c r="A764" s="2" t="s">
        <v>97</v>
      </c>
      <c r="B764" s="2" t="s">
        <v>3932</v>
      </c>
      <c r="C764" s="2" t="s">
        <v>985</v>
      </c>
      <c r="D764" s="2" t="s">
        <v>542</v>
      </c>
      <c r="E764" s="1" t="s">
        <v>986</v>
      </c>
      <c r="F764" s="2" t="s">
        <v>890</v>
      </c>
      <c r="G764" s="2">
        <v>40.44</v>
      </c>
      <c r="H764" s="2" t="str">
        <f t="shared" si="29"/>
        <v>W</v>
      </c>
      <c r="I764" s="5">
        <f>17.29*1.106807</f>
        <v>19.13669303</v>
      </c>
      <c r="J764" s="5">
        <f xml:space="preserve"> 0.00002809*(I764*10)^3.3584</f>
        <v>1294.1168861142005</v>
      </c>
      <c r="K764" s="5"/>
      <c r="L764" s="5">
        <v>10.9</v>
      </c>
      <c r="M764" s="2" t="s">
        <v>191</v>
      </c>
      <c r="N764" s="5"/>
      <c r="O764" s="5"/>
      <c r="P764" s="5"/>
      <c r="R764" s="5"/>
      <c r="S764" s="5"/>
      <c r="T764" s="2" t="s">
        <v>410</v>
      </c>
      <c r="U764" s="40" t="s">
        <v>395</v>
      </c>
      <c r="V764" s="5"/>
      <c r="W764" s="6" t="s">
        <v>2375</v>
      </c>
    </row>
    <row r="765" spans="1:23" x14ac:dyDescent="0.15">
      <c r="A765" s="2" t="s">
        <v>97</v>
      </c>
      <c r="B765" s="2" t="s">
        <v>3932</v>
      </c>
      <c r="C765" s="2" t="s">
        <v>985</v>
      </c>
      <c r="D765" s="2" t="s">
        <v>542</v>
      </c>
      <c r="E765" s="1" t="s">
        <v>986</v>
      </c>
      <c r="F765" s="4" t="s">
        <v>172</v>
      </c>
      <c r="G765" s="4">
        <v>40.61</v>
      </c>
      <c r="H765" s="2" t="str">
        <f t="shared" si="29"/>
        <v>W</v>
      </c>
      <c r="I765" s="5"/>
      <c r="J765" s="5"/>
      <c r="K765" s="33"/>
      <c r="L765" s="33">
        <v>10.9</v>
      </c>
      <c r="M765" s="2" t="s">
        <v>191</v>
      </c>
      <c r="N765" s="33"/>
      <c r="O765" s="33"/>
      <c r="P765" s="5"/>
      <c r="Q765" s="4"/>
      <c r="R765" s="33"/>
      <c r="S765" s="33"/>
      <c r="T765" s="4"/>
      <c r="U765" s="4"/>
      <c r="V765" s="33"/>
      <c r="W765" s="10" t="s">
        <v>1969</v>
      </c>
    </row>
    <row r="766" spans="1:23" x14ac:dyDescent="0.15">
      <c r="A766" s="2" t="s">
        <v>97</v>
      </c>
      <c r="B766" s="2" t="s">
        <v>3932</v>
      </c>
      <c r="C766" s="2" t="s">
        <v>985</v>
      </c>
      <c r="D766" s="2" t="s">
        <v>542</v>
      </c>
      <c r="E766" s="1" t="s">
        <v>986</v>
      </c>
      <c r="F766" s="2" t="s">
        <v>889</v>
      </c>
      <c r="G766" s="2">
        <v>41.79</v>
      </c>
      <c r="H766" s="2" t="str">
        <f t="shared" si="29"/>
        <v>W</v>
      </c>
      <c r="I766" s="5">
        <f>20*1.106807</f>
        <v>22.136140000000001</v>
      </c>
      <c r="J766" s="5">
        <f xml:space="preserve"> 0.00002809*(I766*10)^3.3584</f>
        <v>2110.2890045858858</v>
      </c>
      <c r="K766" s="5"/>
      <c r="L766" s="5">
        <v>15.8</v>
      </c>
      <c r="M766" s="2" t="s">
        <v>191</v>
      </c>
      <c r="N766" s="5">
        <v>32.1</v>
      </c>
      <c r="O766" s="5">
        <v>21.1</v>
      </c>
      <c r="P766" s="5">
        <f xml:space="preserve"> (0.423*N766) + (0.464*O766) - 15.148</f>
        <v>8.2207000000000043</v>
      </c>
      <c r="Q766" s="2" t="s">
        <v>376</v>
      </c>
      <c r="R766" s="5">
        <f>P766*L766</f>
        <v>129.88706000000008</v>
      </c>
      <c r="S766" s="5">
        <f>(R766/J766)*100</f>
        <v>6.1549417979121088</v>
      </c>
      <c r="V766" s="5"/>
      <c r="W766" s="6" t="s">
        <v>2252</v>
      </c>
    </row>
    <row r="767" spans="1:23" x14ac:dyDescent="0.15">
      <c r="A767" s="2" t="s">
        <v>97</v>
      </c>
      <c r="B767" s="2" t="s">
        <v>3932</v>
      </c>
      <c r="C767" s="2" t="s">
        <v>985</v>
      </c>
      <c r="D767" s="2" t="s">
        <v>542</v>
      </c>
      <c r="E767" s="1" t="s">
        <v>4463</v>
      </c>
      <c r="F767" s="2" t="s">
        <v>4073</v>
      </c>
      <c r="G767" s="2">
        <v>25.27</v>
      </c>
      <c r="H767" s="2" t="str">
        <f t="shared" si="29"/>
        <v>W</v>
      </c>
      <c r="I767" s="5"/>
      <c r="J767" s="5"/>
      <c r="K767" s="5">
        <v>4.5</v>
      </c>
      <c r="L767" s="5"/>
      <c r="N767" s="5"/>
      <c r="O767" s="5"/>
      <c r="P767" s="5"/>
      <c r="R767" s="5"/>
      <c r="S767" s="5"/>
      <c r="V767" s="5"/>
      <c r="W767" s="6" t="s">
        <v>4072</v>
      </c>
    </row>
    <row r="768" spans="1:23" x14ac:dyDescent="0.15">
      <c r="A768" s="2" t="s">
        <v>97</v>
      </c>
      <c r="B768" s="2" t="s">
        <v>3932</v>
      </c>
      <c r="C768" s="2" t="s">
        <v>985</v>
      </c>
      <c r="D768" s="2" t="s">
        <v>542</v>
      </c>
      <c r="E768" s="1" t="s">
        <v>4038</v>
      </c>
      <c r="F768" s="4" t="s">
        <v>169</v>
      </c>
      <c r="G768" s="4">
        <v>32.6</v>
      </c>
      <c r="H768" s="2" t="str">
        <f t="shared" si="29"/>
        <v>W</v>
      </c>
      <c r="I768" s="5">
        <f xml:space="preserve"> 15.307*1.106807</f>
        <v>16.941894749000003</v>
      </c>
      <c r="J768" s="5">
        <f xml:space="preserve"> 0.00002809*(I768*10)^3.3584</f>
        <v>859.6024620704203</v>
      </c>
      <c r="K768" s="33"/>
      <c r="L768" s="33">
        <v>5</v>
      </c>
      <c r="M768" s="2" t="s">
        <v>191</v>
      </c>
      <c r="N768" s="5"/>
      <c r="O768" s="5">
        <v>23.67</v>
      </c>
      <c r="P768" s="5"/>
      <c r="R768" s="5"/>
      <c r="S768" s="5"/>
      <c r="T768" s="4"/>
      <c r="U768" s="4"/>
      <c r="V768" s="33"/>
      <c r="W768" s="10" t="s">
        <v>1810</v>
      </c>
    </row>
    <row r="769" spans="1:23" x14ac:dyDescent="0.15">
      <c r="A769" s="2" t="s">
        <v>97</v>
      </c>
      <c r="B769" s="2" t="s">
        <v>3932</v>
      </c>
      <c r="C769" s="2" t="s">
        <v>985</v>
      </c>
      <c r="D769" s="2" t="s">
        <v>542</v>
      </c>
      <c r="E769" s="1" t="s">
        <v>4038</v>
      </c>
      <c r="F769" s="4" t="s">
        <v>168</v>
      </c>
      <c r="G769" s="4">
        <v>32.5</v>
      </c>
      <c r="H769" s="2" t="str">
        <f t="shared" si="29"/>
        <v>W</v>
      </c>
      <c r="I769" s="5">
        <f>16.014*1.106807</f>
        <v>17.724407297999999</v>
      </c>
      <c r="J769" s="5">
        <f xml:space="preserve"> 0.00002809*(I769*10)^3.3584</f>
        <v>1000.3569831882888</v>
      </c>
      <c r="K769" s="33"/>
      <c r="L769" s="33">
        <v>7.23</v>
      </c>
      <c r="M769" s="2" t="s">
        <v>191</v>
      </c>
      <c r="N769" s="5"/>
      <c r="O769" s="5">
        <v>24.41</v>
      </c>
      <c r="P769" s="5"/>
      <c r="R769" s="5"/>
      <c r="S769" s="5"/>
      <c r="T769" s="4"/>
      <c r="U769" s="4"/>
      <c r="V769" s="33"/>
      <c r="W769" s="10" t="s">
        <v>1810</v>
      </c>
    </row>
    <row r="770" spans="1:23" x14ac:dyDescent="0.15">
      <c r="A770" s="2" t="s">
        <v>97</v>
      </c>
      <c r="B770" s="2" t="s">
        <v>3932</v>
      </c>
      <c r="C770" s="2" t="s">
        <v>985</v>
      </c>
      <c r="D770" s="2" t="s">
        <v>542</v>
      </c>
      <c r="E770" s="1" t="s">
        <v>986</v>
      </c>
      <c r="F770" s="2" t="s">
        <v>2267</v>
      </c>
      <c r="H770" s="2" t="s">
        <v>3887</v>
      </c>
      <c r="I770" s="5">
        <v>19</v>
      </c>
      <c r="J770" s="5">
        <f xml:space="preserve"> 0.00002809*(I770*10)^3.3584</f>
        <v>1263.3329766783306</v>
      </c>
      <c r="K770" s="5"/>
      <c r="L770" s="5">
        <v>12</v>
      </c>
      <c r="M770" s="2" t="s">
        <v>191</v>
      </c>
      <c r="N770" s="5"/>
      <c r="O770" s="5"/>
      <c r="P770" s="5"/>
      <c r="R770" s="5"/>
      <c r="S770" s="5"/>
      <c r="T770" s="2">
        <v>2</v>
      </c>
      <c r="U770" s="2" t="str">
        <f>IF(T770&lt;=1, "1",IF(AND(T770&gt;1,T770&lt;4), "2-3", "+4"))</f>
        <v>2-3</v>
      </c>
      <c r="V770" s="5"/>
      <c r="W770" s="6" t="s">
        <v>2449</v>
      </c>
    </row>
    <row r="771" spans="1:23" x14ac:dyDescent="0.15">
      <c r="A771" s="2" t="s">
        <v>97</v>
      </c>
      <c r="B771" s="2" t="s">
        <v>3932</v>
      </c>
      <c r="C771" s="2" t="s">
        <v>985</v>
      </c>
      <c r="D771" s="2" t="s">
        <v>542</v>
      </c>
      <c r="E771" s="1" t="s">
        <v>986</v>
      </c>
      <c r="F771" s="2" t="s">
        <v>2268</v>
      </c>
      <c r="G771" s="2">
        <v>41.93</v>
      </c>
      <c r="H771" s="2" t="str">
        <f t="shared" si="29"/>
        <v>W</v>
      </c>
      <c r="I771" s="5"/>
      <c r="J771" s="5"/>
      <c r="K771" s="5"/>
      <c r="L771" s="5">
        <v>12</v>
      </c>
      <c r="M771" s="2" t="s">
        <v>191</v>
      </c>
      <c r="N771" s="5"/>
      <c r="O771" s="5"/>
      <c r="P771" s="5">
        <v>7.75</v>
      </c>
      <c r="Q771" s="2" t="s">
        <v>18</v>
      </c>
      <c r="R771" s="5">
        <f>P771*L771</f>
        <v>93</v>
      </c>
      <c r="S771" s="5"/>
      <c r="T771" s="2" t="s">
        <v>410</v>
      </c>
      <c r="U771" s="40" t="s">
        <v>395</v>
      </c>
      <c r="V771" s="5"/>
      <c r="W771" s="6" t="s">
        <v>2377</v>
      </c>
    </row>
    <row r="772" spans="1:23" x14ac:dyDescent="0.15">
      <c r="A772" s="2" t="s">
        <v>97</v>
      </c>
      <c r="B772" s="2" t="s">
        <v>3932</v>
      </c>
      <c r="C772" s="2" t="s">
        <v>985</v>
      </c>
      <c r="D772" s="2" t="s">
        <v>542</v>
      </c>
      <c r="E772" s="1" t="s">
        <v>4038</v>
      </c>
      <c r="F772" s="2" t="s">
        <v>887</v>
      </c>
      <c r="G772" s="2">
        <v>32.61</v>
      </c>
      <c r="H772" s="2" t="str">
        <f t="shared" si="29"/>
        <v>W</v>
      </c>
      <c r="I772" s="5">
        <v>16</v>
      </c>
      <c r="J772" s="5">
        <f xml:space="preserve"> 0.22558*(I772^2.8753)</f>
        <v>653.8931358636197</v>
      </c>
      <c r="K772" s="5"/>
      <c r="L772" s="5">
        <v>5</v>
      </c>
      <c r="M772" s="2" t="s">
        <v>191</v>
      </c>
      <c r="N772" s="5"/>
      <c r="O772" s="5"/>
      <c r="P772" s="5"/>
      <c r="R772" s="5"/>
      <c r="S772" s="5"/>
      <c r="V772" s="5"/>
      <c r="W772" s="6" t="s">
        <v>888</v>
      </c>
    </row>
    <row r="773" spans="1:23" x14ac:dyDescent="0.15">
      <c r="A773" s="2" t="s">
        <v>97</v>
      </c>
      <c r="B773" s="2" t="s">
        <v>3932</v>
      </c>
      <c r="C773" s="2" t="s">
        <v>985</v>
      </c>
      <c r="D773" s="2" t="s">
        <v>542</v>
      </c>
      <c r="E773" s="1" t="s">
        <v>986</v>
      </c>
      <c r="F773" s="2" t="s">
        <v>107</v>
      </c>
      <c r="H773" s="2" t="s">
        <v>3887</v>
      </c>
      <c r="I773" s="5">
        <v>17.93</v>
      </c>
      <c r="J773" s="5">
        <v>1089.5</v>
      </c>
      <c r="K773" s="5"/>
      <c r="L773" s="5">
        <v>11.1</v>
      </c>
      <c r="M773" s="2" t="s">
        <v>191</v>
      </c>
      <c r="N773" s="5">
        <v>34.299999999999997</v>
      </c>
      <c r="O773" s="5">
        <v>21.2</v>
      </c>
      <c r="P773" s="5">
        <v>8.5</v>
      </c>
      <c r="Q773" s="2" t="s">
        <v>18</v>
      </c>
      <c r="R773" s="5">
        <v>94.35</v>
      </c>
      <c r="S773" s="5">
        <v>8.66</v>
      </c>
      <c r="T773" s="2" t="s">
        <v>495</v>
      </c>
      <c r="U773" s="40" t="s">
        <v>395</v>
      </c>
      <c r="V773" s="5"/>
      <c r="W773" s="6" t="s">
        <v>2221</v>
      </c>
    </row>
    <row r="774" spans="1:23" x14ac:dyDescent="0.15">
      <c r="A774" s="2" t="s">
        <v>97</v>
      </c>
      <c r="B774" s="2" t="s">
        <v>3932</v>
      </c>
      <c r="C774" s="2" t="s">
        <v>985</v>
      </c>
      <c r="D774" s="2" t="s">
        <v>542</v>
      </c>
      <c r="E774" s="1" t="s">
        <v>986</v>
      </c>
      <c r="F774" s="4" t="s">
        <v>174</v>
      </c>
      <c r="G774" s="4">
        <v>39</v>
      </c>
      <c r="H774" s="2" t="str">
        <f t="shared" si="29"/>
        <v>W</v>
      </c>
      <c r="I774" s="5">
        <f xml:space="preserve"> 15.44*1.106807</f>
        <v>17.089100080000001</v>
      </c>
      <c r="J774" s="5">
        <f xml:space="preserve"> 0.00002809*(I774*10)^3.3584</f>
        <v>884.94418034156877</v>
      </c>
      <c r="K774" s="33">
        <v>6</v>
      </c>
      <c r="L774" s="33">
        <v>9.76</v>
      </c>
      <c r="M774" s="2" t="s">
        <v>191</v>
      </c>
      <c r="N774" s="5">
        <v>31.65</v>
      </c>
      <c r="O774" s="5">
        <v>19.79</v>
      </c>
      <c r="P774" s="5">
        <v>7.7</v>
      </c>
      <c r="Q774" s="2" t="s">
        <v>18</v>
      </c>
      <c r="R774" s="5">
        <v>71.77</v>
      </c>
      <c r="S774" s="5">
        <f>(R774/J774)*100</f>
        <v>8.1101160496132501</v>
      </c>
      <c r="T774" s="4"/>
      <c r="U774" s="4"/>
      <c r="V774" s="33"/>
      <c r="W774" s="10" t="s">
        <v>1972</v>
      </c>
    </row>
    <row r="775" spans="1:23" x14ac:dyDescent="0.15">
      <c r="A775" s="2" t="s">
        <v>97</v>
      </c>
      <c r="B775" s="2" t="s">
        <v>3932</v>
      </c>
      <c r="C775" s="2" t="s">
        <v>985</v>
      </c>
      <c r="D775" s="2" t="s">
        <v>542</v>
      </c>
      <c r="E775" s="1" t="s">
        <v>4464</v>
      </c>
      <c r="F775" s="2" t="s">
        <v>538</v>
      </c>
      <c r="H775" s="2" t="s">
        <v>3887</v>
      </c>
      <c r="I775" s="5">
        <v>20.059999999999999</v>
      </c>
      <c r="J775" s="5">
        <f xml:space="preserve"> 0.22558*(I775^2.8753)</f>
        <v>1252.8316362459807</v>
      </c>
      <c r="K775" s="5"/>
      <c r="L775" s="5">
        <v>9.83</v>
      </c>
      <c r="M775" s="2" t="s">
        <v>191</v>
      </c>
      <c r="N775" s="5">
        <v>34.04</v>
      </c>
      <c r="O775" s="5">
        <v>22.12</v>
      </c>
      <c r="P775" s="5">
        <f xml:space="preserve"> 0.423*N775 + 0.464*O775 - 15.148</f>
        <v>9.5145999999999979</v>
      </c>
      <c r="Q775" s="2" t="s">
        <v>376</v>
      </c>
      <c r="R775" s="5">
        <v>93.53</v>
      </c>
      <c r="S775" s="5">
        <f>(R775/J775)*100</f>
        <v>7.4654883620480614</v>
      </c>
      <c r="V775" s="5"/>
      <c r="W775" s="6" t="s">
        <v>2220</v>
      </c>
    </row>
    <row r="776" spans="1:23" x14ac:dyDescent="0.15">
      <c r="A776" s="2" t="s">
        <v>97</v>
      </c>
      <c r="B776" s="2" t="s">
        <v>3932</v>
      </c>
      <c r="C776" s="2" t="s">
        <v>985</v>
      </c>
      <c r="D776" s="2" t="s">
        <v>542</v>
      </c>
      <c r="E776" s="1" t="s">
        <v>4039</v>
      </c>
      <c r="F776" s="4" t="s">
        <v>167</v>
      </c>
      <c r="G776" s="4">
        <v>29</v>
      </c>
      <c r="H776" s="2" t="str">
        <f t="shared" si="29"/>
        <v>W</v>
      </c>
      <c r="I776" s="5"/>
      <c r="J776" s="5"/>
      <c r="K776" s="33"/>
      <c r="L776" s="33">
        <v>6.5</v>
      </c>
      <c r="M776" s="2" t="s">
        <v>191</v>
      </c>
      <c r="N776" s="5">
        <v>36.9</v>
      </c>
      <c r="O776" s="5">
        <v>23.6</v>
      </c>
      <c r="P776" s="5">
        <v>10.6</v>
      </c>
      <c r="Q776" s="2" t="s">
        <v>18</v>
      </c>
      <c r="R776" s="5">
        <f>P776*L776</f>
        <v>68.899999999999991</v>
      </c>
      <c r="S776" s="5"/>
      <c r="T776" s="4"/>
      <c r="U776" s="4"/>
      <c r="V776" s="33"/>
      <c r="W776" s="10" t="s">
        <v>1966</v>
      </c>
    </row>
    <row r="777" spans="1:23" x14ac:dyDescent="0.15">
      <c r="A777" s="2" t="s">
        <v>97</v>
      </c>
      <c r="B777" s="2" t="s">
        <v>3932</v>
      </c>
      <c r="C777" s="2" t="s">
        <v>985</v>
      </c>
      <c r="D777" s="2" t="s">
        <v>542</v>
      </c>
      <c r="E777" s="1" t="s">
        <v>986</v>
      </c>
      <c r="F777" s="2" t="s">
        <v>148</v>
      </c>
      <c r="G777" s="2">
        <v>38.4</v>
      </c>
      <c r="H777" s="2" t="str">
        <f t="shared" si="29"/>
        <v>W</v>
      </c>
      <c r="I777" s="5"/>
      <c r="J777" s="5"/>
      <c r="K777" s="5"/>
      <c r="L777" s="5">
        <v>12.9</v>
      </c>
      <c r="M777" s="2" t="s">
        <v>191</v>
      </c>
      <c r="N777" s="5"/>
      <c r="O777" s="5"/>
      <c r="P777" s="5">
        <v>9.7799999999999994</v>
      </c>
      <c r="Q777" s="2" t="s">
        <v>18</v>
      </c>
      <c r="R777" s="5">
        <v>128.21</v>
      </c>
      <c r="S777" s="5"/>
      <c r="T777" s="2" t="s">
        <v>382</v>
      </c>
      <c r="U777" s="40" t="s">
        <v>395</v>
      </c>
      <c r="V777" s="5"/>
      <c r="W777" s="6" t="s">
        <v>2374</v>
      </c>
    </row>
    <row r="778" spans="1:23" x14ac:dyDescent="0.15">
      <c r="A778" s="2" t="s">
        <v>97</v>
      </c>
      <c r="B778" s="2" t="s">
        <v>3932</v>
      </c>
      <c r="C778" s="2" t="s">
        <v>985</v>
      </c>
      <c r="D778" s="2" t="s">
        <v>542</v>
      </c>
      <c r="E778" s="1" t="s">
        <v>986</v>
      </c>
      <c r="F778" s="4" t="s">
        <v>171</v>
      </c>
      <c r="G778" s="4">
        <v>38</v>
      </c>
      <c r="H778" s="2" t="str">
        <f t="shared" si="29"/>
        <v>W</v>
      </c>
      <c r="I778" s="33"/>
      <c r="J778" s="33"/>
      <c r="K778" s="33"/>
      <c r="L778" s="33">
        <v>12.23</v>
      </c>
      <c r="M778" s="2" t="s">
        <v>191</v>
      </c>
      <c r="N778" s="5"/>
      <c r="O778" s="5"/>
      <c r="P778" s="5">
        <v>9.8699999999999992</v>
      </c>
      <c r="Q778" s="2" t="s">
        <v>18</v>
      </c>
      <c r="R778" s="5">
        <v>128.21</v>
      </c>
      <c r="S778" s="5"/>
      <c r="T778" s="4"/>
      <c r="U778" s="4"/>
      <c r="V778" s="33"/>
      <c r="W778" s="10" t="s">
        <v>1968</v>
      </c>
    </row>
    <row r="779" spans="1:23" x14ac:dyDescent="0.15">
      <c r="A779" s="2" t="s">
        <v>97</v>
      </c>
      <c r="B779" s="2" t="s">
        <v>3932</v>
      </c>
      <c r="C779" s="2" t="s">
        <v>985</v>
      </c>
      <c r="D779" s="2" t="s">
        <v>542</v>
      </c>
      <c r="E779" s="1" t="s">
        <v>986</v>
      </c>
      <c r="F779" s="4" t="s">
        <v>171</v>
      </c>
      <c r="G779" s="4">
        <v>38.200000000000003</v>
      </c>
      <c r="H779" s="2" t="str">
        <f t="shared" si="29"/>
        <v>W</v>
      </c>
      <c r="I779" s="33"/>
      <c r="J779" s="33"/>
      <c r="K779" s="33"/>
      <c r="L779" s="33">
        <f>48/4</f>
        <v>12</v>
      </c>
      <c r="M779" s="2" t="s">
        <v>191</v>
      </c>
      <c r="N779" s="5">
        <v>32.4</v>
      </c>
      <c r="O779" s="5">
        <v>21.6</v>
      </c>
      <c r="P779" s="5">
        <v>9.1</v>
      </c>
      <c r="Q779" s="2" t="s">
        <v>18</v>
      </c>
      <c r="R779" s="5">
        <f>P779*L779</f>
        <v>109.19999999999999</v>
      </c>
      <c r="S779" s="5"/>
      <c r="T779" s="4" t="s">
        <v>122</v>
      </c>
      <c r="U779" s="4"/>
      <c r="V779" s="33"/>
      <c r="W779" s="10" t="s">
        <v>1971</v>
      </c>
    </row>
    <row r="780" spans="1:23" x14ac:dyDescent="0.15">
      <c r="A780" s="2" t="s">
        <v>97</v>
      </c>
      <c r="B780" s="2" t="s">
        <v>3932</v>
      </c>
      <c r="C780" s="2" t="s">
        <v>985</v>
      </c>
      <c r="D780" s="2" t="s">
        <v>542</v>
      </c>
      <c r="E780" s="1" t="s">
        <v>986</v>
      </c>
      <c r="F780" s="4" t="s">
        <v>171</v>
      </c>
      <c r="G780" s="4">
        <v>38</v>
      </c>
      <c r="H780" s="2" t="str">
        <f t="shared" si="29"/>
        <v>W</v>
      </c>
      <c r="I780" s="33"/>
      <c r="J780" s="33"/>
      <c r="K780" s="33"/>
      <c r="L780" s="33"/>
      <c r="M780" s="2" t="s">
        <v>191</v>
      </c>
      <c r="N780" s="5">
        <v>34.799999999999997</v>
      </c>
      <c r="O780" s="5">
        <v>22.3</v>
      </c>
      <c r="P780" s="5">
        <v>10.29</v>
      </c>
      <c r="Q780" s="2" t="s">
        <v>18</v>
      </c>
      <c r="R780" s="5"/>
      <c r="S780" s="5"/>
      <c r="T780" s="4"/>
      <c r="U780" s="4"/>
      <c r="V780" s="33"/>
      <c r="W780" s="10" t="s">
        <v>3326</v>
      </c>
    </row>
    <row r="781" spans="1:23" x14ac:dyDescent="0.15">
      <c r="A781" s="2" t="s">
        <v>97</v>
      </c>
      <c r="B781" s="2" t="s">
        <v>3932</v>
      </c>
      <c r="C781" s="2" t="s">
        <v>985</v>
      </c>
      <c r="D781" s="2" t="s">
        <v>542</v>
      </c>
      <c r="E781" s="1" t="s">
        <v>986</v>
      </c>
      <c r="F781" s="4" t="s">
        <v>170</v>
      </c>
      <c r="G781" s="4">
        <v>38.76</v>
      </c>
      <c r="H781" s="2" t="str">
        <f t="shared" si="29"/>
        <v>W</v>
      </c>
      <c r="I781" s="5"/>
      <c r="J781" s="5"/>
      <c r="K781" s="33"/>
      <c r="L781" s="33">
        <f>AVERAGE(13.69,13.62,13.48,13.11,12.9,13.87,13.33,14.08)</f>
        <v>13.51</v>
      </c>
      <c r="M781" s="2" t="s">
        <v>191</v>
      </c>
      <c r="N781" s="5"/>
      <c r="O781" s="5"/>
      <c r="P781" s="5">
        <f>AVERAGE(9.8,9.92,9.97,9.86,10.06,9.98,10.1,9.46)</f>
        <v>9.8937500000000007</v>
      </c>
      <c r="Q781" s="2" t="s">
        <v>18</v>
      </c>
      <c r="R781" s="5">
        <f>AVERAGE(127.55,133.11,133.28,127.4,128,136.8,133.1,131.5)</f>
        <v>131.34250000000003</v>
      </c>
      <c r="S781" s="5"/>
      <c r="T781" s="4"/>
      <c r="U781" s="4"/>
      <c r="V781" s="33"/>
      <c r="W781" s="10" t="s">
        <v>1967</v>
      </c>
    </row>
    <row r="782" spans="1:23" x14ac:dyDescent="0.15">
      <c r="A782" s="2" t="s">
        <v>97</v>
      </c>
      <c r="B782" s="2" t="s">
        <v>3932</v>
      </c>
      <c r="C782" s="2" t="s">
        <v>985</v>
      </c>
      <c r="D782" s="2" t="s">
        <v>542</v>
      </c>
      <c r="E782" s="1" t="s">
        <v>4040</v>
      </c>
      <c r="F782" s="2" t="s">
        <v>166</v>
      </c>
      <c r="G782" s="2">
        <v>28</v>
      </c>
      <c r="H782" s="2" t="str">
        <f t="shared" si="29"/>
        <v>W</v>
      </c>
      <c r="I782" s="5">
        <f>EXP((LN(J782/0.22558))/2.8753)</f>
        <v>17.78290987179756</v>
      </c>
      <c r="J782" s="5">
        <v>886</v>
      </c>
      <c r="K782" s="5">
        <v>4.5</v>
      </c>
      <c r="L782" s="5">
        <v>6.7</v>
      </c>
      <c r="M782" s="2" t="s">
        <v>191</v>
      </c>
      <c r="N782" s="5">
        <v>39</v>
      </c>
      <c r="O782" s="5">
        <v>22.3</v>
      </c>
      <c r="P782" s="5">
        <v>12.48</v>
      </c>
      <c r="Q782" s="2" t="s">
        <v>18</v>
      </c>
      <c r="R782" s="5">
        <v>83.62</v>
      </c>
      <c r="S782" s="5">
        <f>(R782/J782)*100</f>
        <v>9.4379232505643333</v>
      </c>
      <c r="V782" s="5"/>
      <c r="W782" s="6" t="s">
        <v>1965</v>
      </c>
    </row>
    <row r="783" spans="1:23" x14ac:dyDescent="0.15">
      <c r="A783" s="2" t="s">
        <v>97</v>
      </c>
      <c r="B783" s="2" t="s">
        <v>3932</v>
      </c>
      <c r="C783" s="2" t="s">
        <v>985</v>
      </c>
      <c r="D783" s="2" t="s">
        <v>542</v>
      </c>
      <c r="E783" s="1" t="s">
        <v>3482</v>
      </c>
      <c r="F783" s="2" t="s">
        <v>374</v>
      </c>
      <c r="G783" s="2" t="s">
        <v>374</v>
      </c>
      <c r="H783" s="2" t="str">
        <f t="shared" si="29"/>
        <v>C</v>
      </c>
      <c r="I783" s="5">
        <v>17.36</v>
      </c>
      <c r="J783" s="5">
        <v>865</v>
      </c>
      <c r="K783" s="5"/>
      <c r="L783" s="5">
        <v>5.5</v>
      </c>
      <c r="M783" s="2" t="s">
        <v>191</v>
      </c>
      <c r="N783" s="5">
        <f>MEDIAN(35.5,39.21)</f>
        <v>37.355000000000004</v>
      </c>
      <c r="O783" s="5">
        <f>MEDIAN(20.85,23.01)</f>
        <v>21.93</v>
      </c>
      <c r="P783" s="5">
        <f xml:space="preserve"> 0.423*37.355 + 0.464*21.93 - 15.148</f>
        <v>10.828684999999997</v>
      </c>
      <c r="Q783" s="2" t="s">
        <v>376</v>
      </c>
      <c r="R783" s="5">
        <f>P783*L783</f>
        <v>59.557767499999983</v>
      </c>
      <c r="S783" s="5">
        <f>(R783/J783)*100</f>
        <v>6.885291040462425</v>
      </c>
      <c r="T783" s="9">
        <f>MEDIAN(2,3)</f>
        <v>2.5</v>
      </c>
      <c r="U783" s="2" t="str">
        <f>IF(T783&lt;=1, "1",IF(AND(T783&gt;1,T783&lt;4), "2-3", "+4"))</f>
        <v>2-3</v>
      </c>
      <c r="V783" s="5">
        <f>S783*T783</f>
        <v>17.213227601156063</v>
      </c>
      <c r="W783" s="6" t="s">
        <v>2255</v>
      </c>
    </row>
    <row r="784" spans="1:23" x14ac:dyDescent="0.15">
      <c r="A784" s="2" t="s">
        <v>97</v>
      </c>
      <c r="B784" s="2" t="s">
        <v>3932</v>
      </c>
      <c r="C784" s="2" t="s">
        <v>985</v>
      </c>
      <c r="D784" s="2" t="s">
        <v>542</v>
      </c>
      <c r="E784" s="1" t="s">
        <v>986</v>
      </c>
      <c r="F784" s="2" t="s">
        <v>4112</v>
      </c>
      <c r="G784" s="2">
        <v>39.799999999999997</v>
      </c>
      <c r="H784" s="2" t="s">
        <v>3887</v>
      </c>
      <c r="I784" s="5">
        <v>19.03</v>
      </c>
      <c r="J784" s="5">
        <v>1176.9000000000001</v>
      </c>
      <c r="K784" s="5"/>
      <c r="L784" s="5">
        <v>12.6</v>
      </c>
      <c r="M784" s="2" t="s">
        <v>191</v>
      </c>
      <c r="N784" s="5">
        <v>31.8</v>
      </c>
      <c r="O784" s="5"/>
      <c r="P784" s="5">
        <v>8.14</v>
      </c>
      <c r="Q784" s="2" t="s">
        <v>18</v>
      </c>
      <c r="R784" s="5">
        <v>102.54</v>
      </c>
      <c r="S784" s="5">
        <v>871</v>
      </c>
      <c r="T784" s="9" t="s">
        <v>382</v>
      </c>
      <c r="U784" s="12" t="s">
        <v>395</v>
      </c>
      <c r="V784" s="5"/>
      <c r="W784" s="6" t="s">
        <v>4111</v>
      </c>
    </row>
    <row r="785" spans="1:58" x14ac:dyDescent="0.15">
      <c r="A785" s="2" t="s">
        <v>97</v>
      </c>
      <c r="B785" s="2" t="s">
        <v>3932</v>
      </c>
      <c r="C785" s="2" t="s">
        <v>985</v>
      </c>
      <c r="D785" s="2" t="s">
        <v>542</v>
      </c>
      <c r="E785" s="1" t="s">
        <v>4038</v>
      </c>
      <c r="F785" s="2" t="s">
        <v>887</v>
      </c>
      <c r="G785" s="2">
        <v>32.61</v>
      </c>
      <c r="H785" s="2" t="str">
        <f t="shared" si="29"/>
        <v>W</v>
      </c>
      <c r="I785" s="5">
        <f>15.7*1.106807</f>
        <v>17.376869899999999</v>
      </c>
      <c r="J785" s="5">
        <f xml:space="preserve"> 0.22558*(I785^2.8753)</f>
        <v>829.06921426124939</v>
      </c>
      <c r="K785" s="5"/>
      <c r="L785" s="5">
        <v>6.9</v>
      </c>
      <c r="M785" s="2" t="s">
        <v>191</v>
      </c>
      <c r="N785" s="5">
        <v>36.9</v>
      </c>
      <c r="O785" s="5">
        <v>22.2</v>
      </c>
      <c r="P785" s="5">
        <v>11.2</v>
      </c>
      <c r="Q785" s="2" t="s">
        <v>18</v>
      </c>
      <c r="R785" s="5">
        <v>77.28</v>
      </c>
      <c r="S785" s="5">
        <f>(R785/J785)*100</f>
        <v>9.321296542033723</v>
      </c>
      <c r="V785" s="5"/>
      <c r="W785" s="6" t="s">
        <v>2251</v>
      </c>
    </row>
    <row r="786" spans="1:58" x14ac:dyDescent="0.15">
      <c r="A786" s="2" t="s">
        <v>97</v>
      </c>
      <c r="B786" s="2" t="s">
        <v>3932</v>
      </c>
      <c r="C786" s="2" t="s">
        <v>987</v>
      </c>
      <c r="D786" s="2" t="s">
        <v>711</v>
      </c>
      <c r="E786" s="1"/>
      <c r="F786" s="2" t="s">
        <v>3907</v>
      </c>
      <c r="G786" s="2">
        <v>30.79</v>
      </c>
      <c r="H786" s="2" t="str">
        <f t="shared" si="29"/>
        <v>W</v>
      </c>
      <c r="I786" s="5"/>
      <c r="J786" s="5"/>
      <c r="K786" s="5"/>
      <c r="L786" s="5">
        <v>10.5</v>
      </c>
      <c r="M786" s="2" t="s">
        <v>191</v>
      </c>
      <c r="N786" s="5">
        <v>40.26</v>
      </c>
      <c r="O786" s="5">
        <v>28.73</v>
      </c>
      <c r="P786" s="5">
        <v>18.850000000000001</v>
      </c>
      <c r="Q786" s="2" t="s">
        <v>376</v>
      </c>
      <c r="R786" s="5">
        <v>197.97</v>
      </c>
      <c r="S786" s="5"/>
      <c r="V786" s="5"/>
      <c r="W786" s="6" t="s">
        <v>1962</v>
      </c>
    </row>
    <row r="787" spans="1:58" x14ac:dyDescent="0.15">
      <c r="A787" s="2" t="s">
        <v>97</v>
      </c>
      <c r="B787" s="2" t="s">
        <v>3932</v>
      </c>
      <c r="C787" s="2" t="s">
        <v>987</v>
      </c>
      <c r="D787" s="2" t="s">
        <v>711</v>
      </c>
      <c r="E787" s="1"/>
      <c r="F787" s="2" t="s">
        <v>175</v>
      </c>
      <c r="G787" s="2">
        <v>30.73</v>
      </c>
      <c r="H787" s="2" t="str">
        <f t="shared" si="29"/>
        <v>W</v>
      </c>
      <c r="I787" s="5">
        <v>31.9</v>
      </c>
      <c r="J787" s="5">
        <f>0.11206*I787^3.05459</f>
        <v>4394.5519283431067</v>
      </c>
      <c r="K787" s="5"/>
      <c r="L787" s="5">
        <v>13.3</v>
      </c>
      <c r="M787" s="2" t="s">
        <v>191</v>
      </c>
      <c r="N787" s="5">
        <v>33.631999999999998</v>
      </c>
      <c r="O787" s="5">
        <v>24</v>
      </c>
      <c r="P787" s="5">
        <v>10.82</v>
      </c>
      <c r="Q787" s="2" t="s">
        <v>376</v>
      </c>
      <c r="R787" s="5">
        <f>P787*L787</f>
        <v>143.90600000000001</v>
      </c>
      <c r="S787" s="5">
        <f>(R787/J787)*100</f>
        <v>3.2746455690252225</v>
      </c>
      <c r="T787" s="2">
        <v>2.5</v>
      </c>
      <c r="U787" s="2" t="str">
        <f>IF(T787&lt;=1, "1",IF(AND(T787&gt;1,T787&lt;4), "2-3", "+4"))</f>
        <v>2-3</v>
      </c>
      <c r="V787" s="5">
        <f>S787*T787</f>
        <v>8.1866139225630565</v>
      </c>
      <c r="W787" s="6" t="s">
        <v>2808</v>
      </c>
    </row>
    <row r="788" spans="1:58" x14ac:dyDescent="0.15">
      <c r="A788" s="2" t="s">
        <v>97</v>
      </c>
      <c r="B788" s="2" t="s">
        <v>3932</v>
      </c>
      <c r="C788" s="2" t="s">
        <v>987</v>
      </c>
      <c r="D788" s="2" t="s">
        <v>522</v>
      </c>
      <c r="E788" s="1" t="s">
        <v>988</v>
      </c>
      <c r="F788" s="2" t="s">
        <v>126</v>
      </c>
      <c r="G788" s="2">
        <v>33</v>
      </c>
      <c r="H788" s="2" t="s">
        <v>3887</v>
      </c>
      <c r="I788" s="5">
        <f>EXP((LN(J788/0.3251))/2.73898)</f>
        <v>28.004889795088026</v>
      </c>
      <c r="J788" s="5">
        <v>2992</v>
      </c>
      <c r="K788" s="5"/>
      <c r="L788" s="5">
        <v>17</v>
      </c>
      <c r="M788" s="2" t="s">
        <v>191</v>
      </c>
      <c r="N788" s="5">
        <v>36.36</v>
      </c>
      <c r="O788" s="5">
        <v>23.9</v>
      </c>
      <c r="P788" s="5">
        <v>11.99</v>
      </c>
      <c r="Q788" s="2" t="s">
        <v>18</v>
      </c>
      <c r="R788" s="5">
        <v>203.8</v>
      </c>
      <c r="S788" s="5">
        <f>0.068*100</f>
        <v>6.8000000000000007</v>
      </c>
      <c r="V788" s="5"/>
      <c r="W788" s="6" t="s">
        <v>1783</v>
      </c>
    </row>
    <row r="789" spans="1:58" x14ac:dyDescent="0.15">
      <c r="A789" s="2" t="s">
        <v>97</v>
      </c>
      <c r="B789" s="2" t="s">
        <v>3932</v>
      </c>
      <c r="C789" s="2" t="s">
        <v>987</v>
      </c>
      <c r="D789" s="2" t="s">
        <v>522</v>
      </c>
      <c r="E789" s="1" t="s">
        <v>988</v>
      </c>
      <c r="F789" s="2" t="s">
        <v>4074</v>
      </c>
      <c r="H789" s="2" t="s">
        <v>3887</v>
      </c>
      <c r="I789" s="5"/>
      <c r="J789" s="5"/>
      <c r="K789" s="5">
        <v>18.5</v>
      </c>
      <c r="L789" s="5"/>
      <c r="N789" s="5"/>
      <c r="O789" s="5"/>
      <c r="P789" s="5"/>
      <c r="R789" s="5"/>
      <c r="S789" s="5"/>
      <c r="V789" s="5"/>
      <c r="W789" s="6" t="s">
        <v>4075</v>
      </c>
    </row>
    <row r="790" spans="1:58" x14ac:dyDescent="0.15">
      <c r="A790" s="2" t="s">
        <v>97</v>
      </c>
      <c r="B790" s="2" t="s">
        <v>3932</v>
      </c>
      <c r="C790" s="2" t="s">
        <v>987</v>
      </c>
      <c r="D790" s="2" t="s">
        <v>522</v>
      </c>
      <c r="E790" s="1" t="s">
        <v>988</v>
      </c>
      <c r="F790" s="2" t="s">
        <v>179</v>
      </c>
      <c r="G790" s="4">
        <v>33.979999999999997</v>
      </c>
      <c r="H790" s="2" t="s">
        <v>3887</v>
      </c>
      <c r="I790" s="5">
        <v>32.167000000000002</v>
      </c>
      <c r="J790" s="5">
        <v>4373</v>
      </c>
      <c r="K790" s="33">
        <v>14</v>
      </c>
      <c r="L790" s="33">
        <v>17.5</v>
      </c>
      <c r="M790" s="4" t="s">
        <v>191</v>
      </c>
      <c r="N790" s="5">
        <v>40.35</v>
      </c>
      <c r="O790" s="5">
        <v>27.5</v>
      </c>
      <c r="P790" s="5">
        <v>17.440000000000001</v>
      </c>
      <c r="Q790" s="2" t="s">
        <v>18</v>
      </c>
      <c r="R790" s="5">
        <f>P790*L790</f>
        <v>305.20000000000005</v>
      </c>
      <c r="S790" s="5">
        <v>6.9790000000000001</v>
      </c>
      <c r="T790" s="2">
        <v>2</v>
      </c>
      <c r="U790" s="2" t="str">
        <f>IF(T790&lt;=1, "1",IF(AND(T790&gt;1,T790&lt;4), "2-3", "+4"))</f>
        <v>2-3</v>
      </c>
      <c r="V790" s="5">
        <f>S790*T790</f>
        <v>13.958</v>
      </c>
      <c r="W790" s="10" t="s">
        <v>1975</v>
      </c>
    </row>
    <row r="791" spans="1:58" x14ac:dyDescent="0.15">
      <c r="A791" s="2" t="s">
        <v>97</v>
      </c>
      <c r="B791" s="2" t="s">
        <v>3932</v>
      </c>
      <c r="C791" s="2" t="s">
        <v>987</v>
      </c>
      <c r="D791" s="2" t="s">
        <v>522</v>
      </c>
      <c r="E791" s="1" t="s">
        <v>988</v>
      </c>
      <c r="F791" s="2" t="s">
        <v>523</v>
      </c>
      <c r="G791" s="2">
        <v>35</v>
      </c>
      <c r="H791" s="2" t="s">
        <v>3887</v>
      </c>
      <c r="I791" s="5">
        <v>36</v>
      </c>
      <c r="J791" s="5">
        <v>5093</v>
      </c>
      <c r="K791" s="5"/>
      <c r="L791" s="5">
        <v>24</v>
      </c>
      <c r="M791" s="5" t="s">
        <v>191</v>
      </c>
      <c r="N791" s="5">
        <v>42.1</v>
      </c>
      <c r="O791" s="5">
        <v>25.2</v>
      </c>
      <c r="P791" s="5">
        <f xml:space="preserve"> 0.471*N791 + 1.089*O791 - 31.395</f>
        <v>15.876900000000003</v>
      </c>
      <c r="Q791" s="2" t="s">
        <v>376</v>
      </c>
      <c r="R791" s="5">
        <v>383.87</v>
      </c>
      <c r="S791" s="5">
        <v>7.54</v>
      </c>
      <c r="T791" s="2" t="s">
        <v>524</v>
      </c>
      <c r="U791" s="40" t="s">
        <v>395</v>
      </c>
      <c r="V791" s="5"/>
      <c r="W791" s="6" t="s">
        <v>2256</v>
      </c>
    </row>
    <row r="792" spans="1:58" x14ac:dyDescent="0.15">
      <c r="A792" s="2" t="s">
        <v>97</v>
      </c>
      <c r="B792" s="2" t="s">
        <v>3932</v>
      </c>
      <c r="C792" s="2" t="s">
        <v>987</v>
      </c>
      <c r="D792" s="2" t="s">
        <v>522</v>
      </c>
      <c r="E792" s="1" t="s">
        <v>988</v>
      </c>
      <c r="F792" s="2" t="s">
        <v>176</v>
      </c>
      <c r="G792" s="4">
        <v>34.4</v>
      </c>
      <c r="H792" s="2" t="s">
        <v>3887</v>
      </c>
      <c r="I792" s="5">
        <v>26.89</v>
      </c>
      <c r="J792" s="5">
        <f>0.3251*I792^2.73898</f>
        <v>2676.9335143637459</v>
      </c>
      <c r="K792" s="33"/>
      <c r="L792" s="33">
        <f>78/5</f>
        <v>15.6</v>
      </c>
      <c r="M792" s="4" t="s">
        <v>191</v>
      </c>
      <c r="N792" s="5">
        <v>41.2</v>
      </c>
      <c r="O792" s="5">
        <v>24.7</v>
      </c>
      <c r="P792" s="5">
        <v>15.1</v>
      </c>
      <c r="Q792" s="2" t="s">
        <v>18</v>
      </c>
      <c r="R792" s="5">
        <f>P792*L792</f>
        <v>235.56</v>
      </c>
      <c r="S792" s="5">
        <f>(R792/J792)*100</f>
        <v>8.7996208623055008</v>
      </c>
      <c r="V792" s="5"/>
      <c r="W792" s="10" t="s">
        <v>1898</v>
      </c>
    </row>
    <row r="793" spans="1:58" x14ac:dyDescent="0.15">
      <c r="A793" s="2" t="s">
        <v>97</v>
      </c>
      <c r="B793" s="2" t="s">
        <v>3932</v>
      </c>
      <c r="C793" s="2" t="s">
        <v>987</v>
      </c>
      <c r="D793" s="2" t="s">
        <v>522</v>
      </c>
      <c r="E793" s="1" t="s">
        <v>3698</v>
      </c>
      <c r="F793" s="2" t="s">
        <v>449</v>
      </c>
      <c r="G793" s="2">
        <v>29.08</v>
      </c>
      <c r="H793" s="2" t="s">
        <v>3887</v>
      </c>
      <c r="I793" s="5"/>
      <c r="J793" s="5"/>
      <c r="K793" s="33"/>
      <c r="L793" s="33">
        <f>AVERAGE(17,17,19)</f>
        <v>17.666666666666668</v>
      </c>
      <c r="M793" s="4" t="s">
        <v>191</v>
      </c>
      <c r="N793" s="5">
        <v>38.83</v>
      </c>
      <c r="O793" s="5">
        <v>26.96</v>
      </c>
      <c r="P793" s="5">
        <v>19.899999999999999</v>
      </c>
      <c r="Q793" s="2" t="s">
        <v>18</v>
      </c>
      <c r="R793" s="5">
        <f>P793*L793</f>
        <v>351.56666666666666</v>
      </c>
      <c r="S793" s="5"/>
      <c r="V793" s="5"/>
      <c r="W793" s="10" t="s">
        <v>3310</v>
      </c>
    </row>
    <row r="794" spans="1:58" x14ac:dyDescent="0.15">
      <c r="A794" s="4" t="s">
        <v>97</v>
      </c>
      <c r="B794" s="2" t="s">
        <v>3932</v>
      </c>
      <c r="C794" s="4" t="s">
        <v>987</v>
      </c>
      <c r="D794" s="4" t="s">
        <v>522</v>
      </c>
      <c r="E794" s="1" t="s">
        <v>988</v>
      </c>
      <c r="F794" s="2" t="s">
        <v>454</v>
      </c>
      <c r="G794" s="2">
        <v>30.23</v>
      </c>
      <c r="H794" s="2" t="s">
        <v>3887</v>
      </c>
      <c r="I794" s="33"/>
      <c r="J794" s="33"/>
      <c r="K794" s="33">
        <v>11</v>
      </c>
      <c r="L794" s="33">
        <v>16.7</v>
      </c>
      <c r="M794" s="4" t="s">
        <v>191</v>
      </c>
      <c r="N794" s="5">
        <v>38.9</v>
      </c>
      <c r="O794" s="5">
        <v>27.2</v>
      </c>
      <c r="P794" s="5">
        <v>16.28</v>
      </c>
      <c r="Q794" s="2" t="s">
        <v>18</v>
      </c>
      <c r="R794" s="5">
        <f>P794*L794</f>
        <v>271.87600000000003</v>
      </c>
      <c r="S794" s="5"/>
      <c r="V794" s="5"/>
      <c r="W794" s="10" t="s">
        <v>1942</v>
      </c>
    </row>
    <row r="795" spans="1:58" x14ac:dyDescent="0.15">
      <c r="A795" s="2" t="s">
        <v>97</v>
      </c>
      <c r="B795" s="2" t="s">
        <v>3932</v>
      </c>
      <c r="C795" s="2" t="s">
        <v>987</v>
      </c>
      <c r="D795" s="2" t="s">
        <v>522</v>
      </c>
      <c r="E795" s="1" t="s">
        <v>988</v>
      </c>
      <c r="F795" s="2" t="s">
        <v>107</v>
      </c>
      <c r="H795" s="2" t="s">
        <v>3887</v>
      </c>
      <c r="I795" s="5"/>
      <c r="J795" s="5"/>
      <c r="K795" s="5"/>
      <c r="L795" s="5">
        <v>15.6</v>
      </c>
      <c r="M795" s="5" t="s">
        <v>191</v>
      </c>
      <c r="N795" s="5">
        <v>36.5</v>
      </c>
      <c r="O795" s="5">
        <v>24.5</v>
      </c>
      <c r="P795" s="5">
        <v>15.4</v>
      </c>
      <c r="Q795" s="2" t="s">
        <v>18</v>
      </c>
      <c r="R795" s="5">
        <v>240.24</v>
      </c>
      <c r="S795" s="5"/>
      <c r="V795" s="5"/>
      <c r="W795" s="6" t="s">
        <v>2221</v>
      </c>
    </row>
    <row r="796" spans="1:58" x14ac:dyDescent="0.15">
      <c r="A796" s="2" t="s">
        <v>97</v>
      </c>
      <c r="B796" s="2" t="s">
        <v>3932</v>
      </c>
      <c r="C796" s="2" t="s">
        <v>987</v>
      </c>
      <c r="D796" s="2" t="s">
        <v>522</v>
      </c>
      <c r="E796" s="1" t="s">
        <v>988</v>
      </c>
      <c r="F796" s="2" t="s">
        <v>107</v>
      </c>
      <c r="H796" s="2" t="s">
        <v>3887</v>
      </c>
      <c r="I796" s="5">
        <v>29.02</v>
      </c>
      <c r="J796" s="5">
        <v>3193.3</v>
      </c>
      <c r="K796" s="5"/>
      <c r="L796" s="5">
        <v>15.6</v>
      </c>
      <c r="M796" s="2" t="s">
        <v>191</v>
      </c>
      <c r="N796" s="5">
        <v>36.5</v>
      </c>
      <c r="O796" s="5">
        <v>24.5</v>
      </c>
      <c r="P796" s="5">
        <v>12.7</v>
      </c>
      <c r="Q796" s="2" t="s">
        <v>18</v>
      </c>
      <c r="R796" s="5">
        <v>198.12</v>
      </c>
      <c r="S796" s="5">
        <v>6.2</v>
      </c>
      <c r="V796" s="5"/>
      <c r="W796" s="6" t="s">
        <v>2221</v>
      </c>
    </row>
    <row r="797" spans="1:58" x14ac:dyDescent="0.15">
      <c r="A797" s="4" t="s">
        <v>97</v>
      </c>
      <c r="B797" s="2" t="s">
        <v>3932</v>
      </c>
      <c r="C797" s="4" t="s">
        <v>987</v>
      </c>
      <c r="D797" s="4" t="s">
        <v>522</v>
      </c>
      <c r="E797" s="1" t="s">
        <v>988</v>
      </c>
      <c r="F797" s="4" t="s">
        <v>177</v>
      </c>
      <c r="G797" s="4">
        <v>37.700000000000003</v>
      </c>
      <c r="H797" s="2" t="s">
        <v>3887</v>
      </c>
      <c r="I797" s="33"/>
      <c r="J797" s="33"/>
      <c r="K797" s="33"/>
      <c r="L797" s="33">
        <v>14</v>
      </c>
      <c r="M797" s="4" t="s">
        <v>191</v>
      </c>
      <c r="N797" s="5">
        <v>38.200000000000003</v>
      </c>
      <c r="O797" s="5">
        <v>25.4</v>
      </c>
      <c r="P797" s="5">
        <v>15.4</v>
      </c>
      <c r="Q797" s="2" t="s">
        <v>18</v>
      </c>
      <c r="R797" s="5">
        <f>P797*L797</f>
        <v>215.6</v>
      </c>
      <c r="S797" s="5"/>
      <c r="V797" s="5"/>
      <c r="W797" s="10" t="s">
        <v>1973</v>
      </c>
    </row>
    <row r="798" spans="1:58" x14ac:dyDescent="0.15">
      <c r="A798" s="2" t="s">
        <v>97</v>
      </c>
      <c r="B798" s="2" t="s">
        <v>3932</v>
      </c>
      <c r="C798" s="2" t="s">
        <v>987</v>
      </c>
      <c r="D798" s="2" t="s">
        <v>522</v>
      </c>
      <c r="E798" s="1" t="s">
        <v>988</v>
      </c>
      <c r="F798" s="2" t="s">
        <v>538</v>
      </c>
      <c r="H798" s="2" t="s">
        <v>3887</v>
      </c>
      <c r="I798" s="5">
        <v>27.38</v>
      </c>
      <c r="J798" s="5">
        <f>0.3251*I798^2.73898</f>
        <v>2812.6676838748431</v>
      </c>
      <c r="K798" s="5"/>
      <c r="L798" s="5">
        <v>14.15</v>
      </c>
      <c r="M798" s="5" t="s">
        <v>191</v>
      </c>
      <c r="N798" s="5">
        <v>35.362000000000002</v>
      </c>
      <c r="O798" s="5">
        <v>23.75</v>
      </c>
      <c r="P798" s="5">
        <v>11.13</v>
      </c>
      <c r="Q798" s="2" t="s">
        <v>376</v>
      </c>
      <c r="R798" s="5">
        <v>157.51</v>
      </c>
      <c r="S798" s="5">
        <f>(R798/J798)*100</f>
        <v>5.6000216770367954</v>
      </c>
      <c r="V798" s="5"/>
      <c r="W798" s="6" t="s">
        <v>2220</v>
      </c>
    </row>
    <row r="799" spans="1:58" x14ac:dyDescent="0.15">
      <c r="A799" s="2" t="s">
        <v>97</v>
      </c>
      <c r="B799" s="28" t="s">
        <v>3932</v>
      </c>
      <c r="C799" s="28" t="s">
        <v>987</v>
      </c>
      <c r="D799" s="28" t="s">
        <v>522</v>
      </c>
      <c r="E799" s="43" t="s">
        <v>4148</v>
      </c>
      <c r="F799" s="28" t="s">
        <v>4149</v>
      </c>
      <c r="G799" s="28">
        <v>29.54</v>
      </c>
      <c r="H799" s="2" t="s">
        <v>3887</v>
      </c>
      <c r="I799" s="44"/>
      <c r="J799" s="44"/>
      <c r="K799" s="44">
        <v>14.12</v>
      </c>
      <c r="L799" s="44"/>
      <c r="M799" s="28" t="s">
        <v>191</v>
      </c>
      <c r="N799" s="44"/>
      <c r="O799" s="44"/>
      <c r="P799" s="44"/>
      <c r="Q799" s="28"/>
      <c r="R799" s="44"/>
      <c r="S799" s="44"/>
      <c r="T799" s="28"/>
      <c r="U799" s="28"/>
      <c r="V799" s="44"/>
      <c r="W799" s="45" t="s">
        <v>4147</v>
      </c>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row>
    <row r="800" spans="1:58" x14ac:dyDescent="0.15">
      <c r="A800" s="4" t="s">
        <v>97</v>
      </c>
      <c r="B800" s="2" t="s">
        <v>3932</v>
      </c>
      <c r="C800" s="4" t="s">
        <v>987</v>
      </c>
      <c r="D800" s="4" t="s">
        <v>522</v>
      </c>
      <c r="E800" s="1" t="s">
        <v>988</v>
      </c>
      <c r="F800" s="4" t="s">
        <v>178</v>
      </c>
      <c r="G800" s="4">
        <v>36.69</v>
      </c>
      <c r="H800" s="2" t="s">
        <v>3887</v>
      </c>
      <c r="I800" s="5">
        <f>27/0.927532</f>
        <v>29.109507812129394</v>
      </c>
      <c r="J800" s="5">
        <f>3.1*1000</f>
        <v>3100</v>
      </c>
      <c r="K800" s="33"/>
      <c r="L800" s="33">
        <f>159/10</f>
        <v>15.9</v>
      </c>
      <c r="M800" s="4" t="s">
        <v>191</v>
      </c>
      <c r="N800" s="5">
        <v>36.4</v>
      </c>
      <c r="O800" s="33">
        <v>24.6</v>
      </c>
      <c r="P800" s="33">
        <v>12.6</v>
      </c>
      <c r="Q800" s="4" t="s">
        <v>18</v>
      </c>
      <c r="R800" s="33">
        <f>P800*L800</f>
        <v>200.34</v>
      </c>
      <c r="S800" s="5">
        <f>(R800/J800)*100</f>
        <v>6.4625806451612906</v>
      </c>
      <c r="T800" s="4"/>
      <c r="U800" s="4"/>
      <c r="V800" s="33"/>
      <c r="W800" s="10" t="s">
        <v>1974</v>
      </c>
    </row>
    <row r="801" spans="1:23" x14ac:dyDescent="0.15">
      <c r="A801" s="4" t="s">
        <v>97</v>
      </c>
      <c r="B801" s="2" t="s">
        <v>3932</v>
      </c>
      <c r="C801" s="4" t="s">
        <v>987</v>
      </c>
      <c r="D801" s="4" t="s">
        <v>541</v>
      </c>
      <c r="E801" s="1"/>
      <c r="F801" s="4" t="s">
        <v>180</v>
      </c>
      <c r="G801" s="4">
        <v>30.52</v>
      </c>
      <c r="H801" s="2" t="s">
        <v>3887</v>
      </c>
      <c r="I801" s="5">
        <v>28.7</v>
      </c>
      <c r="J801" s="5">
        <f>0.3251*I801^2.73898</f>
        <v>3199.8257354727484</v>
      </c>
      <c r="K801" s="33"/>
      <c r="L801" s="33">
        <v>12.4</v>
      </c>
      <c r="M801" s="4" t="s">
        <v>191</v>
      </c>
      <c r="N801" s="33"/>
      <c r="O801" s="33"/>
      <c r="P801" s="33"/>
      <c r="Q801" s="4"/>
      <c r="R801" s="33"/>
      <c r="S801" s="33"/>
      <c r="T801" s="4">
        <v>1</v>
      </c>
      <c r="U801" s="2" t="str">
        <f>IF(T801&lt;=1, "1",IF(AND(T801&gt;1,T801&lt;4), "2-3", "+4"))</f>
        <v>1</v>
      </c>
      <c r="V801" s="33"/>
      <c r="W801" s="10" t="s">
        <v>1811</v>
      </c>
    </row>
    <row r="802" spans="1:23" x14ac:dyDescent="0.15">
      <c r="A802" s="2" t="s">
        <v>97</v>
      </c>
      <c r="B802" s="2" t="s">
        <v>3932</v>
      </c>
      <c r="C802" s="2" t="s">
        <v>987</v>
      </c>
      <c r="D802" s="2" t="s">
        <v>541</v>
      </c>
      <c r="E802" s="1"/>
      <c r="F802" s="2" t="s">
        <v>69</v>
      </c>
      <c r="G802" s="2">
        <v>27.5</v>
      </c>
      <c r="H802" s="2" t="s">
        <v>3887</v>
      </c>
      <c r="I802" s="5">
        <v>32.64</v>
      </c>
      <c r="J802" s="5">
        <f>0.3251*I802^2.73898</f>
        <v>4551.4351122051685</v>
      </c>
      <c r="K802" s="5">
        <v>16</v>
      </c>
      <c r="L802" s="5">
        <v>11.57</v>
      </c>
      <c r="M802" s="2" t="s">
        <v>191</v>
      </c>
      <c r="N802" s="5"/>
      <c r="O802" s="5"/>
      <c r="P802" s="5"/>
      <c r="R802" s="5"/>
      <c r="S802" s="5"/>
      <c r="T802" s="2" t="s">
        <v>2269</v>
      </c>
      <c r="U802" s="40" t="s">
        <v>395</v>
      </c>
      <c r="V802" s="5"/>
      <c r="W802" s="6" t="s">
        <v>2382</v>
      </c>
    </row>
    <row r="803" spans="1:23" x14ac:dyDescent="0.15">
      <c r="A803" s="2" t="s">
        <v>97</v>
      </c>
      <c r="B803" s="2" t="s">
        <v>3932</v>
      </c>
      <c r="C803" s="2" t="s">
        <v>987</v>
      </c>
      <c r="D803" s="2" t="s">
        <v>541</v>
      </c>
      <c r="E803" s="1"/>
      <c r="F803" s="2" t="s">
        <v>126</v>
      </c>
      <c r="G803" s="2">
        <v>33</v>
      </c>
      <c r="H803" s="2" t="s">
        <v>3887</v>
      </c>
      <c r="I803" s="5">
        <f>23.8/0.927532</f>
        <v>25.659492071432577</v>
      </c>
      <c r="J803" s="5">
        <v>2211</v>
      </c>
      <c r="K803" s="5"/>
      <c r="L803" s="5">
        <v>11.5</v>
      </c>
      <c r="M803" s="2" t="s">
        <v>191</v>
      </c>
      <c r="N803" s="5">
        <v>36.22</v>
      </c>
      <c r="O803" s="5">
        <v>23.15</v>
      </c>
      <c r="P803" s="5">
        <v>11.49</v>
      </c>
      <c r="Q803" s="2" t="s">
        <v>18</v>
      </c>
      <c r="R803" s="5">
        <v>132.1</v>
      </c>
      <c r="S803" s="5">
        <f>0.058*100</f>
        <v>5.8000000000000007</v>
      </c>
      <c r="V803" s="5"/>
      <c r="W803" s="6" t="s">
        <v>1783</v>
      </c>
    </row>
    <row r="804" spans="1:23" x14ac:dyDescent="0.15">
      <c r="A804" s="2" t="s">
        <v>97</v>
      </c>
      <c r="B804" s="2" t="s">
        <v>3932</v>
      </c>
      <c r="C804" s="2" t="s">
        <v>987</v>
      </c>
      <c r="D804" s="2" t="s">
        <v>541</v>
      </c>
      <c r="E804" s="1"/>
      <c r="F804" s="2" t="s">
        <v>123</v>
      </c>
      <c r="G804" s="2">
        <v>36.76</v>
      </c>
      <c r="H804" s="2" t="s">
        <v>3887</v>
      </c>
      <c r="I804" s="5">
        <f>26.25/0.927532</f>
        <v>28.300910372903576</v>
      </c>
      <c r="J804" s="5">
        <f>0.3251*I804^2.73898</f>
        <v>3079.422264488263</v>
      </c>
      <c r="K804" s="7">
        <f>MEDIAN(6,7)</f>
        <v>6.5</v>
      </c>
      <c r="L804" s="5">
        <v>15.5</v>
      </c>
      <c r="M804" s="2" t="s">
        <v>191</v>
      </c>
      <c r="N804" s="5"/>
      <c r="O804" s="5"/>
      <c r="P804" s="5"/>
      <c r="R804" s="5"/>
      <c r="S804" s="5"/>
      <c r="V804" s="5"/>
      <c r="W804" s="6" t="s">
        <v>2380</v>
      </c>
    </row>
    <row r="805" spans="1:23" x14ac:dyDescent="0.15">
      <c r="A805" s="2" t="s">
        <v>97</v>
      </c>
      <c r="B805" s="2" t="s">
        <v>3932</v>
      </c>
      <c r="C805" s="2" t="s">
        <v>987</v>
      </c>
      <c r="D805" s="2" t="s">
        <v>541</v>
      </c>
      <c r="E805" s="1"/>
      <c r="F805" s="2" t="s">
        <v>126</v>
      </c>
      <c r="G805" s="2">
        <v>33</v>
      </c>
      <c r="H805" s="2" t="s">
        <v>3887</v>
      </c>
      <c r="I805" s="5">
        <f>22.3/0.927532</f>
        <v>24.042297192980943</v>
      </c>
      <c r="J805" s="5">
        <f>0.3251*I805^2.73898</f>
        <v>1970.0738568947979</v>
      </c>
      <c r="K805" s="5"/>
      <c r="L805" s="5">
        <v>9.8000000000000007</v>
      </c>
      <c r="M805" s="2" t="s">
        <v>191</v>
      </c>
      <c r="N805" s="5"/>
      <c r="O805" s="5"/>
      <c r="P805" s="5"/>
      <c r="R805" s="5"/>
      <c r="S805" s="5"/>
      <c r="V805" s="5"/>
      <c r="W805" s="6" t="s">
        <v>1983</v>
      </c>
    </row>
    <row r="806" spans="1:23" x14ac:dyDescent="0.15">
      <c r="A806" s="2" t="s">
        <v>97</v>
      </c>
      <c r="B806" s="2" t="s">
        <v>3932</v>
      </c>
      <c r="C806" s="2" t="s">
        <v>987</v>
      </c>
      <c r="D806" s="2" t="s">
        <v>541</v>
      </c>
      <c r="E806" s="1"/>
      <c r="F806" s="2" t="s">
        <v>69</v>
      </c>
      <c r="G806" s="2">
        <v>28.86</v>
      </c>
      <c r="H806" s="2" t="s">
        <v>3887</v>
      </c>
      <c r="I806" s="5">
        <f xml:space="preserve"> EXP(LN(J806/0.3251)/2.73898)</f>
        <v>29.203698586013246</v>
      </c>
      <c r="J806" s="5">
        <v>3356</v>
      </c>
      <c r="K806" s="5"/>
      <c r="L806" s="5">
        <v>19</v>
      </c>
      <c r="M806" s="2" t="s">
        <v>191</v>
      </c>
      <c r="N806" s="5">
        <v>37</v>
      </c>
      <c r="O806" s="5">
        <v>25.5</v>
      </c>
      <c r="P806" s="5">
        <v>11.895</v>
      </c>
      <c r="Q806" s="2" t="s">
        <v>18</v>
      </c>
      <c r="R806" s="5">
        <v>226</v>
      </c>
      <c r="S806" s="5">
        <v>6.73</v>
      </c>
      <c r="V806" s="5"/>
      <c r="W806" s="6" t="s">
        <v>3429</v>
      </c>
    </row>
    <row r="807" spans="1:23" x14ac:dyDescent="0.15">
      <c r="A807" s="2" t="s">
        <v>97</v>
      </c>
      <c r="B807" s="2" t="s">
        <v>3932</v>
      </c>
      <c r="C807" s="2" t="s">
        <v>987</v>
      </c>
      <c r="D807" s="2" t="s">
        <v>541</v>
      </c>
      <c r="E807" s="1"/>
      <c r="F807" s="2" t="s">
        <v>69</v>
      </c>
      <c r="G807" s="4">
        <v>29.65</v>
      </c>
      <c r="H807" s="2" t="s">
        <v>3887</v>
      </c>
      <c r="I807" s="5">
        <f>28.76/0.927532</f>
        <v>31.007016469512642</v>
      </c>
      <c r="J807" s="5">
        <v>3920</v>
      </c>
      <c r="K807" s="33">
        <v>7</v>
      </c>
      <c r="L807" s="33">
        <v>16.8</v>
      </c>
      <c r="M807" s="2" t="s">
        <v>191</v>
      </c>
      <c r="N807" s="5">
        <v>35.5</v>
      </c>
      <c r="O807" s="5">
        <v>24.8</v>
      </c>
      <c r="P807" s="5">
        <v>13.09</v>
      </c>
      <c r="Q807" s="2" t="s">
        <v>18</v>
      </c>
      <c r="R807" s="5">
        <v>219.9</v>
      </c>
      <c r="S807" s="5">
        <v>5.7</v>
      </c>
      <c r="T807" s="2">
        <v>4.5</v>
      </c>
      <c r="U807" s="2" t="str">
        <f>IF(T807&lt;=1, "1",IF(AND(T807&gt;1,T807&lt;4), "2-3", "+4"))</f>
        <v>+4</v>
      </c>
      <c r="V807" s="5">
        <f>S807*T807</f>
        <v>25.650000000000002</v>
      </c>
      <c r="W807" s="6" t="s">
        <v>3325</v>
      </c>
    </row>
    <row r="808" spans="1:23" x14ac:dyDescent="0.15">
      <c r="A808" s="2" t="s">
        <v>97</v>
      </c>
      <c r="B808" s="2" t="s">
        <v>3932</v>
      </c>
      <c r="C808" s="2" t="s">
        <v>987</v>
      </c>
      <c r="D808" s="2" t="s">
        <v>541</v>
      </c>
      <c r="E808" s="1"/>
      <c r="F808" s="2" t="s">
        <v>69</v>
      </c>
      <c r="G808" s="2">
        <v>28.15</v>
      </c>
      <c r="H808" s="2" t="s">
        <v>3887</v>
      </c>
      <c r="I808" s="5"/>
      <c r="J808" s="5"/>
      <c r="K808" s="5"/>
      <c r="L808" s="5">
        <v>17</v>
      </c>
      <c r="M808" s="2" t="s">
        <v>191</v>
      </c>
      <c r="N808" s="5">
        <v>33.979999999999997</v>
      </c>
      <c r="O808" s="5">
        <v>23.7</v>
      </c>
      <c r="P808" s="5">
        <v>10.4</v>
      </c>
      <c r="Q808" s="2" t="s">
        <v>376</v>
      </c>
      <c r="R808" s="5">
        <v>176.88</v>
      </c>
      <c r="S808" s="5"/>
      <c r="T808" s="9"/>
      <c r="U808" s="9"/>
      <c r="W808" s="6" t="s">
        <v>2379</v>
      </c>
    </row>
    <row r="809" spans="1:23" x14ac:dyDescent="0.15">
      <c r="A809" s="2" t="s">
        <v>97</v>
      </c>
      <c r="B809" s="2" t="s">
        <v>3932</v>
      </c>
      <c r="C809" s="2" t="s">
        <v>987</v>
      </c>
      <c r="D809" s="2" t="s">
        <v>541</v>
      </c>
      <c r="E809" s="1"/>
      <c r="F809" s="2" t="s">
        <v>538</v>
      </c>
      <c r="H809" s="2" t="s">
        <v>3887</v>
      </c>
      <c r="I809" s="5">
        <v>28.95</v>
      </c>
      <c r="J809" s="5">
        <f>0.3251*I809^2.73898</f>
        <v>3276.7489161562694</v>
      </c>
      <c r="K809" s="5"/>
      <c r="L809" s="5">
        <v>15.38</v>
      </c>
      <c r="M809" s="2" t="s">
        <v>191</v>
      </c>
      <c r="N809" s="5">
        <v>36.3125</v>
      </c>
      <c r="O809" s="5">
        <v>25.08</v>
      </c>
      <c r="P809" s="5">
        <v>13.01</v>
      </c>
      <c r="Q809" s="2" t="s">
        <v>376</v>
      </c>
      <c r="R809" s="5">
        <v>200.1</v>
      </c>
      <c r="S809" s="5">
        <f t="shared" ref="S809:S816" si="30">(R809/J809)*100</f>
        <v>6.1066625829458934</v>
      </c>
      <c r="W809" s="6" t="s">
        <v>2220</v>
      </c>
    </row>
    <row r="810" spans="1:23" x14ac:dyDescent="0.15">
      <c r="A810" s="2" t="s">
        <v>97</v>
      </c>
      <c r="B810" s="2" t="s">
        <v>3932</v>
      </c>
      <c r="C810" s="2" t="s">
        <v>987</v>
      </c>
      <c r="D810" s="2" t="s">
        <v>541</v>
      </c>
      <c r="E810" s="1"/>
      <c r="F810" s="2" t="s">
        <v>175</v>
      </c>
      <c r="G810" s="2">
        <v>31</v>
      </c>
      <c r="H810" s="2" t="str">
        <f t="shared" ref="H810:H824" si="31">IF(G810="captive","C","W")</f>
        <v>W</v>
      </c>
      <c r="I810" s="5">
        <v>26.38</v>
      </c>
      <c r="J810" s="5">
        <f>0.3251*I810^2.73898</f>
        <v>2540.1548777094395</v>
      </c>
      <c r="K810" s="5"/>
      <c r="L810" s="5">
        <v>10.75</v>
      </c>
      <c r="M810" s="2" t="s">
        <v>191</v>
      </c>
      <c r="N810" s="5">
        <v>37.799999999999997</v>
      </c>
      <c r="O810" s="5">
        <v>25.69</v>
      </c>
      <c r="P810" s="5">
        <v>14.38</v>
      </c>
      <c r="Q810" s="2" t="s">
        <v>376</v>
      </c>
      <c r="R810" s="5">
        <v>154.59</v>
      </c>
      <c r="S810" s="5">
        <f t="shared" si="30"/>
        <v>6.0858493848768802</v>
      </c>
      <c r="T810" s="2" t="s">
        <v>495</v>
      </c>
      <c r="U810" s="40" t="s">
        <v>395</v>
      </c>
      <c r="W810" s="6" t="s">
        <v>2378</v>
      </c>
    </row>
    <row r="811" spans="1:23" x14ac:dyDescent="0.15">
      <c r="A811" s="2" t="s">
        <v>97</v>
      </c>
      <c r="B811" s="2" t="s">
        <v>3932</v>
      </c>
      <c r="C811" s="2" t="s">
        <v>987</v>
      </c>
      <c r="D811" s="2" t="s">
        <v>541</v>
      </c>
      <c r="E811" s="1"/>
      <c r="F811" s="2" t="s">
        <v>126</v>
      </c>
      <c r="G811" s="2">
        <v>33</v>
      </c>
      <c r="H811" s="2" t="str">
        <f t="shared" si="31"/>
        <v>W</v>
      </c>
      <c r="I811" s="5">
        <f>23.492/0.927532</f>
        <v>25.327428056390506</v>
      </c>
      <c r="J811" s="5">
        <f>0.3251*I811^2.73898</f>
        <v>2272.0866726947793</v>
      </c>
      <c r="K811" s="5"/>
      <c r="L811" s="5">
        <v>11.53</v>
      </c>
      <c r="M811" s="2" t="s">
        <v>191</v>
      </c>
      <c r="N811" s="5"/>
      <c r="O811" s="5">
        <v>24.57</v>
      </c>
      <c r="P811" s="5">
        <f xml:space="preserve"> (1.509*O811) - 23.631</f>
        <v>13.445129999999999</v>
      </c>
      <c r="Q811" s="2" t="s">
        <v>376</v>
      </c>
      <c r="R811" s="5">
        <f>P811*L811</f>
        <v>155.02234889999997</v>
      </c>
      <c r="S811" s="5">
        <f t="shared" si="30"/>
        <v>6.8229064834105859</v>
      </c>
      <c r="W811" s="10" t="s">
        <v>1812</v>
      </c>
    </row>
    <row r="812" spans="1:23" x14ac:dyDescent="0.15">
      <c r="A812" s="2" t="s">
        <v>97</v>
      </c>
      <c r="B812" s="2" t="s">
        <v>3932</v>
      </c>
      <c r="C812" s="2" t="s">
        <v>987</v>
      </c>
      <c r="D812" s="2" t="s">
        <v>541</v>
      </c>
      <c r="E812" s="1"/>
      <c r="F812" s="2" t="s">
        <v>908</v>
      </c>
      <c r="G812" s="2">
        <v>30.7</v>
      </c>
      <c r="H812" s="2" t="str">
        <f t="shared" si="31"/>
        <v>W</v>
      </c>
      <c r="I812" s="5">
        <v>25.4</v>
      </c>
      <c r="J812" s="5">
        <v>2236</v>
      </c>
      <c r="K812" s="7"/>
      <c r="L812" s="7">
        <f>MEDIAN(12,20)</f>
        <v>16</v>
      </c>
      <c r="M812" s="9" t="s">
        <v>191</v>
      </c>
      <c r="N812" s="5">
        <v>34.159999999999997</v>
      </c>
      <c r="O812" s="5">
        <v>24.15</v>
      </c>
      <c r="P812" s="5">
        <f xml:space="preserve"> 0.471*N812 + 1.089*O812 - 31.395</f>
        <v>10.993709999999997</v>
      </c>
      <c r="Q812" s="2" t="s">
        <v>376</v>
      </c>
      <c r="R812" s="5">
        <f>P812*L812</f>
        <v>175.89935999999994</v>
      </c>
      <c r="S812" s="5">
        <f t="shared" si="30"/>
        <v>7.8666976744186021</v>
      </c>
      <c r="W812" s="6" t="s">
        <v>2381</v>
      </c>
    </row>
    <row r="813" spans="1:23" x14ac:dyDescent="0.15">
      <c r="A813" s="2" t="s">
        <v>97</v>
      </c>
      <c r="B813" s="2" t="s">
        <v>3932</v>
      </c>
      <c r="C813" s="2" t="s">
        <v>987</v>
      </c>
      <c r="D813" s="2" t="s">
        <v>365</v>
      </c>
      <c r="E813" s="1"/>
      <c r="F813" s="2" t="s">
        <v>4119</v>
      </c>
      <c r="G813" s="2">
        <v>29.4</v>
      </c>
      <c r="H813" s="2" t="str">
        <f t="shared" si="31"/>
        <v>W</v>
      </c>
      <c r="I813" s="5">
        <v>26.66</v>
      </c>
      <c r="J813" s="5"/>
      <c r="K813" s="7"/>
      <c r="L813" s="7">
        <v>11.4</v>
      </c>
      <c r="M813" s="9" t="s">
        <v>191</v>
      </c>
      <c r="N813" s="5"/>
      <c r="O813" s="5"/>
      <c r="P813" s="5"/>
      <c r="R813" s="5"/>
      <c r="S813" s="5"/>
      <c r="T813" s="9" t="s">
        <v>431</v>
      </c>
      <c r="U813" s="2">
        <v>1</v>
      </c>
      <c r="W813" s="6" t="s">
        <v>4120</v>
      </c>
    </row>
    <row r="814" spans="1:23" x14ac:dyDescent="0.15">
      <c r="A814" s="2" t="s">
        <v>97</v>
      </c>
      <c r="B814" s="2" t="s">
        <v>3932</v>
      </c>
      <c r="C814" s="2" t="s">
        <v>987</v>
      </c>
      <c r="D814" s="2" t="s">
        <v>365</v>
      </c>
      <c r="E814" s="1"/>
      <c r="F814" s="2" t="s">
        <v>611</v>
      </c>
      <c r="G814" s="2">
        <v>32.5</v>
      </c>
      <c r="H814" s="2" t="str">
        <f t="shared" si="31"/>
        <v>W</v>
      </c>
      <c r="I814" s="5">
        <v>24</v>
      </c>
      <c r="J814" s="5">
        <f>0.3251*I814^2.73898</f>
        <v>1960.5952960292566</v>
      </c>
      <c r="K814" s="5"/>
      <c r="L814" s="5">
        <v>9</v>
      </c>
      <c r="M814" s="2" t="s">
        <v>191</v>
      </c>
      <c r="N814" s="5">
        <v>42</v>
      </c>
      <c r="O814" s="5">
        <v>31</v>
      </c>
      <c r="P814" s="5">
        <v>22.15</v>
      </c>
      <c r="Q814" s="2" t="s">
        <v>376</v>
      </c>
      <c r="R814" s="5">
        <f>P814*L814</f>
        <v>199.35</v>
      </c>
      <c r="S814" s="5">
        <f t="shared" si="30"/>
        <v>10.167830168915454</v>
      </c>
      <c r="W814" s="6" t="s">
        <v>3642</v>
      </c>
    </row>
    <row r="815" spans="1:23" x14ac:dyDescent="0.15">
      <c r="A815" s="2" t="s">
        <v>97</v>
      </c>
      <c r="B815" s="2" t="s">
        <v>3932</v>
      </c>
      <c r="C815" s="2" t="s">
        <v>987</v>
      </c>
      <c r="D815" s="2" t="s">
        <v>365</v>
      </c>
      <c r="E815" s="1"/>
      <c r="F815" s="2" t="s">
        <v>232</v>
      </c>
      <c r="G815" s="2">
        <v>32.5</v>
      </c>
      <c r="H815" s="2" t="str">
        <f t="shared" si="31"/>
        <v>W</v>
      </c>
      <c r="I815" s="5">
        <v>24.2</v>
      </c>
      <c r="J815" s="5">
        <f>0.3251*I815^2.73898</f>
        <v>2005.6704713302713</v>
      </c>
      <c r="K815" s="5"/>
      <c r="L815" s="5">
        <v>10</v>
      </c>
      <c r="M815" s="2" t="s">
        <v>191</v>
      </c>
      <c r="N815" s="5">
        <v>39.700000000000003</v>
      </c>
      <c r="O815" s="5">
        <v>29.3</v>
      </c>
      <c r="P815" s="5">
        <v>19.21</v>
      </c>
      <c r="Q815" s="2" t="s">
        <v>376</v>
      </c>
      <c r="R815" s="5">
        <f>P815*L815</f>
        <v>192.10000000000002</v>
      </c>
      <c r="S815" s="5">
        <f t="shared" si="30"/>
        <v>9.5778445535267167</v>
      </c>
      <c r="W815" s="6" t="s">
        <v>1792</v>
      </c>
    </row>
    <row r="816" spans="1:23" x14ac:dyDescent="0.15">
      <c r="A816" s="2" t="s">
        <v>97</v>
      </c>
      <c r="B816" s="2" t="s">
        <v>3932</v>
      </c>
      <c r="C816" s="2" t="s">
        <v>987</v>
      </c>
      <c r="D816" s="2" t="s">
        <v>365</v>
      </c>
      <c r="E816" s="1"/>
      <c r="F816" s="2" t="s">
        <v>366</v>
      </c>
      <c r="G816" s="2">
        <v>32.1</v>
      </c>
      <c r="H816" s="2" t="str">
        <f t="shared" si="31"/>
        <v>W</v>
      </c>
      <c r="I816" s="5">
        <f>21.6/0.927532</f>
        <v>23.287606249703515</v>
      </c>
      <c r="J816" s="5">
        <v>1943</v>
      </c>
      <c r="K816" s="5"/>
      <c r="L816" s="5">
        <v>9.33</v>
      </c>
      <c r="M816" s="2" t="s">
        <v>191</v>
      </c>
      <c r="N816" s="5"/>
      <c r="O816" s="5">
        <v>30.1</v>
      </c>
      <c r="P816" s="5">
        <f xml:space="preserve"> (1.509*O816) - 23.631</f>
        <v>21.789899999999996</v>
      </c>
      <c r="Q816" s="2" t="s">
        <v>376</v>
      </c>
      <c r="R816" s="5">
        <f>P816*L816</f>
        <v>203.29976699999997</v>
      </c>
      <c r="S816" s="5">
        <f t="shared" si="30"/>
        <v>10.463189243437981</v>
      </c>
      <c r="W816" s="6" t="s">
        <v>2257</v>
      </c>
    </row>
    <row r="817" spans="1:58" x14ac:dyDescent="0.15">
      <c r="A817" s="2" t="s">
        <v>97</v>
      </c>
      <c r="B817" s="2" t="s">
        <v>3932</v>
      </c>
      <c r="C817" s="2" t="s">
        <v>987</v>
      </c>
      <c r="D817" s="2" t="s">
        <v>712</v>
      </c>
      <c r="E817" s="1"/>
      <c r="F817" s="2" t="s">
        <v>69</v>
      </c>
      <c r="G817" s="2" t="s">
        <v>374</v>
      </c>
      <c r="H817" s="2" t="str">
        <f t="shared" si="31"/>
        <v>C</v>
      </c>
      <c r="I817" s="5">
        <v>24.8</v>
      </c>
      <c r="J817" s="5">
        <v>2078</v>
      </c>
      <c r="K817" s="5"/>
      <c r="L817" s="5">
        <v>11</v>
      </c>
      <c r="M817" s="2" t="s">
        <v>191</v>
      </c>
      <c r="N817" s="5"/>
      <c r="O817" s="5"/>
      <c r="P817" s="5"/>
      <c r="R817" s="5"/>
      <c r="S817" s="5"/>
      <c r="T817" s="2">
        <v>2</v>
      </c>
      <c r="U817" s="2" t="str">
        <f>IF(T817&lt;=1, "1",IF(AND(T817&gt;1,T817&lt;4), "2-3", "+4"))</f>
        <v>2-3</v>
      </c>
      <c r="W817" s="6" t="s">
        <v>2384</v>
      </c>
    </row>
    <row r="818" spans="1:58" x14ac:dyDescent="0.15">
      <c r="A818" s="2" t="s">
        <v>97</v>
      </c>
      <c r="B818" s="2" t="s">
        <v>3932</v>
      </c>
      <c r="C818" s="2" t="s">
        <v>987</v>
      </c>
      <c r="D818" s="2" t="s">
        <v>712</v>
      </c>
      <c r="E818" s="1"/>
      <c r="F818" s="2" t="s">
        <v>69</v>
      </c>
      <c r="G818" s="2">
        <v>28.47</v>
      </c>
      <c r="H818" s="2" t="str">
        <f t="shared" si="31"/>
        <v>W</v>
      </c>
      <c r="I818" s="5">
        <v>22.17</v>
      </c>
      <c r="J818" s="5">
        <v>1960</v>
      </c>
      <c r="K818" s="7">
        <f>MEDIAN(7,8)</f>
        <v>7.5</v>
      </c>
      <c r="L818" s="5">
        <v>12.6</v>
      </c>
      <c r="M818" s="2" t="s">
        <v>191</v>
      </c>
      <c r="N818" s="5"/>
      <c r="O818" s="5"/>
      <c r="P818" s="5"/>
      <c r="R818" s="5"/>
      <c r="S818" s="5"/>
      <c r="T818" s="2" t="s">
        <v>122</v>
      </c>
      <c r="W818" s="6" t="s">
        <v>3339</v>
      </c>
    </row>
    <row r="819" spans="1:58" x14ac:dyDescent="0.15">
      <c r="A819" s="2" t="s">
        <v>97</v>
      </c>
      <c r="B819" s="2" t="s">
        <v>3932</v>
      </c>
      <c r="C819" s="2" t="s">
        <v>987</v>
      </c>
      <c r="D819" s="2" t="s">
        <v>712</v>
      </c>
      <c r="E819" s="1"/>
      <c r="F819" s="2" t="s">
        <v>69</v>
      </c>
      <c r="G819" s="4">
        <v>29.65</v>
      </c>
      <c r="H819" s="2" t="str">
        <f t="shared" si="31"/>
        <v>W</v>
      </c>
      <c r="I819" s="5">
        <v>29.806999999999999</v>
      </c>
      <c r="J819" s="33">
        <v>4020</v>
      </c>
      <c r="K819" s="39">
        <f>MEDIAN(5,7)</f>
        <v>6</v>
      </c>
      <c r="L819" s="33">
        <v>14.3</v>
      </c>
      <c r="M819" s="4" t="s">
        <v>191</v>
      </c>
      <c r="N819" s="5">
        <v>34.799999999999997</v>
      </c>
      <c r="O819" s="5">
        <v>23.2</v>
      </c>
      <c r="P819" s="5">
        <v>10.23</v>
      </c>
      <c r="Q819" s="2" t="s">
        <v>18</v>
      </c>
      <c r="R819" s="5">
        <v>146.30000000000001</v>
      </c>
      <c r="S819" s="5">
        <v>4.5</v>
      </c>
      <c r="T819" s="2">
        <v>4.5</v>
      </c>
      <c r="U819" s="2" t="str">
        <f>IF(T819&lt;=1, "1",IF(AND(T819&gt;1,T819&lt;4), "2-3", "+4"))</f>
        <v>+4</v>
      </c>
      <c r="V819" s="5">
        <f>S819*T819</f>
        <v>20.25</v>
      </c>
      <c r="W819" s="10" t="s">
        <v>3325</v>
      </c>
    </row>
    <row r="820" spans="1:58" x14ac:dyDescent="0.15">
      <c r="A820" s="2" t="s">
        <v>97</v>
      </c>
      <c r="B820" s="2" t="s">
        <v>3932</v>
      </c>
      <c r="C820" s="2" t="s">
        <v>987</v>
      </c>
      <c r="D820" s="2" t="s">
        <v>712</v>
      </c>
      <c r="E820" s="1"/>
      <c r="F820" s="2" t="s">
        <v>69</v>
      </c>
      <c r="G820" s="2">
        <v>28.67</v>
      </c>
      <c r="H820" s="2" t="str">
        <f t="shared" si="31"/>
        <v>W</v>
      </c>
      <c r="I820" s="5"/>
      <c r="J820" s="5"/>
      <c r="K820" s="5"/>
      <c r="L820" s="5">
        <v>6</v>
      </c>
      <c r="M820" s="2" t="s">
        <v>191</v>
      </c>
      <c r="N820" s="5">
        <v>38</v>
      </c>
      <c r="O820" s="5">
        <v>22</v>
      </c>
      <c r="P820" s="5">
        <v>11.244999999999999</v>
      </c>
      <c r="Q820" s="2" t="s">
        <v>376</v>
      </c>
      <c r="R820" s="5">
        <v>67.47</v>
      </c>
      <c r="S820" s="5"/>
      <c r="V820" s="5"/>
      <c r="W820" s="6" t="s">
        <v>2383</v>
      </c>
    </row>
    <row r="821" spans="1:58" x14ac:dyDescent="0.15">
      <c r="A821" s="2" t="s">
        <v>97</v>
      </c>
      <c r="B821" s="2" t="s">
        <v>3932</v>
      </c>
      <c r="C821" s="2" t="s">
        <v>987</v>
      </c>
      <c r="D821" s="2" t="s">
        <v>712</v>
      </c>
      <c r="E821" s="1"/>
      <c r="F821" s="2" t="s">
        <v>374</v>
      </c>
      <c r="G821" s="2" t="s">
        <v>374</v>
      </c>
      <c r="H821" s="2" t="str">
        <f t="shared" si="31"/>
        <v>C</v>
      </c>
      <c r="I821" s="5">
        <v>22.5</v>
      </c>
      <c r="J821" s="5">
        <v>1760</v>
      </c>
      <c r="K821" s="5"/>
      <c r="L821" s="5">
        <v>7.17</v>
      </c>
      <c r="M821" s="2" t="s">
        <v>191</v>
      </c>
      <c r="N821" s="5">
        <v>28</v>
      </c>
      <c r="O821" s="5">
        <v>15</v>
      </c>
      <c r="P821" s="5">
        <v>7.8</v>
      </c>
      <c r="Q821" s="2" t="s">
        <v>18</v>
      </c>
      <c r="R821" s="5">
        <f>P821*L821</f>
        <v>55.925999999999995</v>
      </c>
      <c r="S821" s="5">
        <f>(R821/J821)*100</f>
        <v>3.177613636363636</v>
      </c>
      <c r="T821" s="2">
        <v>3</v>
      </c>
      <c r="U821" s="2" t="str">
        <f>IF(T821&lt;=1, "1",IF(AND(T821&gt;1,T821&lt;4), "2-3", "+4"))</f>
        <v>2-3</v>
      </c>
      <c r="V821" s="5">
        <f>S821*T821</f>
        <v>9.5328409090909076</v>
      </c>
      <c r="W821" s="6" t="s">
        <v>3461</v>
      </c>
    </row>
    <row r="822" spans="1:58" x14ac:dyDescent="0.15">
      <c r="A822" s="2" t="s">
        <v>97</v>
      </c>
      <c r="B822" s="2" t="s">
        <v>3932</v>
      </c>
      <c r="C822" s="2" t="s">
        <v>987</v>
      </c>
      <c r="D822" s="2" t="s">
        <v>712</v>
      </c>
      <c r="E822" s="1"/>
      <c r="F822" s="2" t="s">
        <v>4145</v>
      </c>
      <c r="G822" s="9" t="s">
        <v>4146</v>
      </c>
      <c r="H822" s="2" t="str">
        <f t="shared" si="31"/>
        <v>W</v>
      </c>
      <c r="I822" s="5"/>
      <c r="J822" s="5"/>
      <c r="K822" s="5">
        <v>12.2</v>
      </c>
      <c r="L822" s="5"/>
      <c r="M822" s="2" t="s">
        <v>191</v>
      </c>
      <c r="N822" s="5"/>
      <c r="O822" s="5"/>
      <c r="P822" s="5"/>
      <c r="R822" s="5"/>
      <c r="S822" s="5"/>
      <c r="V822" s="5"/>
      <c r="W822" s="6" t="s">
        <v>4147</v>
      </c>
    </row>
    <row r="823" spans="1:58" x14ac:dyDescent="0.15">
      <c r="A823" s="2" t="s">
        <v>97</v>
      </c>
      <c r="B823" s="2" t="s">
        <v>3932</v>
      </c>
      <c r="C823" s="2" t="s">
        <v>987</v>
      </c>
      <c r="D823" s="2" t="s">
        <v>713</v>
      </c>
      <c r="E823" s="1"/>
      <c r="F823" s="2" t="s">
        <v>374</v>
      </c>
      <c r="G823" s="2" t="s">
        <v>374</v>
      </c>
      <c r="H823" s="2" t="str">
        <f t="shared" si="31"/>
        <v>C</v>
      </c>
      <c r="I823" s="5">
        <v>22.4</v>
      </c>
      <c r="J823" s="5">
        <v>1396</v>
      </c>
      <c r="K823" s="5"/>
      <c r="L823" s="5">
        <v>6.67</v>
      </c>
      <c r="M823" s="2" t="s">
        <v>191</v>
      </c>
      <c r="N823" s="5"/>
      <c r="O823" s="5"/>
      <c r="P823" s="5"/>
      <c r="R823" s="5"/>
      <c r="S823" s="5"/>
      <c r="T823" s="2">
        <v>1</v>
      </c>
      <c r="U823" s="2" t="str">
        <f>IF(T823&lt;=1, "1",IF(AND(T823&gt;1,T823&lt;4), "2-3", "+4"))</f>
        <v>1</v>
      </c>
      <c r="V823" s="5"/>
      <c r="W823" s="6" t="s">
        <v>2384</v>
      </c>
    </row>
    <row r="824" spans="1:58" x14ac:dyDescent="0.15">
      <c r="A824" s="2" t="s">
        <v>97</v>
      </c>
      <c r="B824" s="2" t="s">
        <v>3932</v>
      </c>
      <c r="C824" s="2" t="s">
        <v>987</v>
      </c>
      <c r="D824" s="2" t="s">
        <v>713</v>
      </c>
      <c r="E824" s="1"/>
      <c r="F824" s="2" t="s">
        <v>374</v>
      </c>
      <c r="G824" s="2" t="s">
        <v>374</v>
      </c>
      <c r="H824" s="2" t="str">
        <f t="shared" si="31"/>
        <v>C</v>
      </c>
      <c r="I824" s="5">
        <v>25.5</v>
      </c>
      <c r="J824" s="5">
        <v>2400</v>
      </c>
      <c r="K824" s="5"/>
      <c r="L824" s="5">
        <v>13</v>
      </c>
      <c r="M824" s="2" t="s">
        <v>191</v>
      </c>
      <c r="N824" s="5">
        <v>33.43</v>
      </c>
      <c r="O824" s="5">
        <v>22.73</v>
      </c>
      <c r="P824" s="5">
        <v>9.01</v>
      </c>
      <c r="Q824" s="2" t="s">
        <v>18</v>
      </c>
      <c r="R824" s="5">
        <v>117.13</v>
      </c>
      <c r="S824" s="5">
        <v>4.88</v>
      </c>
      <c r="T824" s="9" t="s">
        <v>372</v>
      </c>
      <c r="U824" s="40" t="s">
        <v>395</v>
      </c>
      <c r="V824" s="5"/>
      <c r="W824" s="6" t="s">
        <v>2934</v>
      </c>
    </row>
    <row r="825" spans="1:58" x14ac:dyDescent="0.15">
      <c r="A825" s="2" t="s">
        <v>97</v>
      </c>
      <c r="B825" s="28" t="s">
        <v>3932</v>
      </c>
      <c r="C825" s="28" t="s">
        <v>987</v>
      </c>
      <c r="D825" s="28" t="s">
        <v>713</v>
      </c>
      <c r="E825" s="43"/>
      <c r="F825" s="28" t="s">
        <v>4145</v>
      </c>
      <c r="G825" s="28" t="s">
        <v>4146</v>
      </c>
      <c r="H825" s="28" t="s">
        <v>3887</v>
      </c>
      <c r="I825" s="44"/>
      <c r="J825" s="44"/>
      <c r="K825" s="44">
        <v>10.25</v>
      </c>
      <c r="L825" s="44"/>
      <c r="M825" s="28" t="s">
        <v>191</v>
      </c>
      <c r="N825" s="44"/>
      <c r="O825" s="44"/>
      <c r="P825" s="44"/>
      <c r="Q825" s="28"/>
      <c r="R825" s="44"/>
      <c r="S825" s="44"/>
      <c r="T825" s="28"/>
      <c r="U825" s="28"/>
      <c r="V825" s="44"/>
      <c r="W825" s="45" t="s">
        <v>4147</v>
      </c>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row>
    <row r="826" spans="1:58" x14ac:dyDescent="0.15">
      <c r="A826" s="4" t="s">
        <v>97</v>
      </c>
      <c r="B826" s="2" t="s">
        <v>3932</v>
      </c>
      <c r="C826" s="4" t="s">
        <v>987</v>
      </c>
      <c r="D826" s="4" t="s">
        <v>543</v>
      </c>
      <c r="E826" s="1"/>
      <c r="F826" s="4" t="s">
        <v>881</v>
      </c>
      <c r="G826" s="4">
        <v>41.89</v>
      </c>
      <c r="H826" s="2" t="str">
        <f t="shared" ref="H826:H859" si="32">IF(G826="captive","C","W")</f>
        <v>W</v>
      </c>
      <c r="I826" s="33">
        <v>30.37</v>
      </c>
      <c r="J826" s="5">
        <v>3477</v>
      </c>
      <c r="K826" s="33">
        <v>10</v>
      </c>
      <c r="L826" s="33">
        <v>17</v>
      </c>
      <c r="M826" s="4" t="s">
        <v>191</v>
      </c>
      <c r="N826" s="5">
        <v>34.4</v>
      </c>
      <c r="O826" s="5">
        <v>24.5</v>
      </c>
      <c r="P826" s="5">
        <v>11.9</v>
      </c>
      <c r="Q826" s="2" t="s">
        <v>18</v>
      </c>
      <c r="R826" s="5">
        <v>202.3</v>
      </c>
      <c r="S826" s="5">
        <v>5.82</v>
      </c>
      <c r="T826" s="2">
        <v>2</v>
      </c>
      <c r="U826" s="2" t="str">
        <f>IF(T826&lt;=1, "1",IF(AND(T826&gt;1,T826&lt;4), "2-3", "+4"))</f>
        <v>2-3</v>
      </c>
      <c r="V826" s="5">
        <f>S826*T826</f>
        <v>11.64</v>
      </c>
      <c r="W826" s="10" t="s">
        <v>1813</v>
      </c>
    </row>
    <row r="827" spans="1:58" x14ac:dyDescent="0.15">
      <c r="A827" s="2" t="s">
        <v>97</v>
      </c>
      <c r="B827" s="2" t="s">
        <v>3932</v>
      </c>
      <c r="C827" s="2" t="s">
        <v>987</v>
      </c>
      <c r="D827" s="2" t="s">
        <v>543</v>
      </c>
      <c r="E827" s="1"/>
      <c r="F827" s="2" t="s">
        <v>181</v>
      </c>
      <c r="G827" s="2">
        <v>41.88</v>
      </c>
      <c r="H827" s="2" t="str">
        <f t="shared" si="32"/>
        <v>W</v>
      </c>
      <c r="I827" s="5"/>
      <c r="J827" s="5"/>
      <c r="K827" s="7"/>
      <c r="L827" s="7"/>
      <c r="M827" s="2" t="s">
        <v>191</v>
      </c>
      <c r="N827" s="5"/>
      <c r="O827" s="5">
        <v>13.4</v>
      </c>
      <c r="P827" s="5"/>
      <c r="R827" s="5"/>
      <c r="S827" s="5"/>
      <c r="V827" s="5"/>
      <c r="W827" s="6" t="s">
        <v>2386</v>
      </c>
    </row>
    <row r="828" spans="1:58" x14ac:dyDescent="0.15">
      <c r="A828" s="2" t="s">
        <v>97</v>
      </c>
      <c r="B828" s="2" t="s">
        <v>3932</v>
      </c>
      <c r="C828" s="2" t="s">
        <v>987</v>
      </c>
      <c r="D828" s="2" t="s">
        <v>543</v>
      </c>
      <c r="E828" s="1"/>
      <c r="F828" s="2" t="s">
        <v>107</v>
      </c>
      <c r="H828" s="2" t="s">
        <v>3887</v>
      </c>
      <c r="I828" s="5">
        <v>28.57</v>
      </c>
      <c r="J828" s="5">
        <v>2787.6</v>
      </c>
      <c r="K828" s="5"/>
      <c r="L828" s="5">
        <v>14.8</v>
      </c>
      <c r="M828" s="2" t="s">
        <v>191</v>
      </c>
      <c r="N828" s="5">
        <v>35.200000000000003</v>
      </c>
      <c r="O828" s="5">
        <v>23.8</v>
      </c>
      <c r="P828" s="5">
        <v>11.6</v>
      </c>
      <c r="Q828" s="2" t="s">
        <v>18</v>
      </c>
      <c r="R828" s="5">
        <v>171.68</v>
      </c>
      <c r="S828" s="5">
        <v>6.16</v>
      </c>
      <c r="T828" s="2" t="s">
        <v>410</v>
      </c>
      <c r="U828" s="40" t="s">
        <v>395</v>
      </c>
      <c r="V828" s="5"/>
      <c r="W828" s="6" t="s">
        <v>2221</v>
      </c>
    </row>
    <row r="829" spans="1:58" x14ac:dyDescent="0.15">
      <c r="A829" s="2" t="s">
        <v>97</v>
      </c>
      <c r="B829" s="2" t="s">
        <v>3932</v>
      </c>
      <c r="C829" s="2" t="s">
        <v>987</v>
      </c>
      <c r="D829" s="2" t="s">
        <v>543</v>
      </c>
      <c r="E829" s="1"/>
      <c r="F829" s="2" t="s">
        <v>538</v>
      </c>
      <c r="H829" s="2" t="s">
        <v>3887</v>
      </c>
      <c r="I829" s="5">
        <v>29.12</v>
      </c>
      <c r="J829" s="5">
        <f xml:space="preserve"> 0.2692*I829^2.79</f>
        <v>3274.6808465151944</v>
      </c>
      <c r="K829" s="5"/>
      <c r="L829" s="5">
        <v>13.8</v>
      </c>
      <c r="M829" s="2" t="s">
        <v>191</v>
      </c>
      <c r="N829" s="5">
        <v>37.659999999999997</v>
      </c>
      <c r="O829" s="5">
        <v>25.04</v>
      </c>
      <c r="P829" s="5">
        <f xml:space="preserve"> (0.471*N829) + (1.089*O829) - 31.395</f>
        <v>13.611419999999992</v>
      </c>
      <c r="Q829" s="2" t="s">
        <v>376</v>
      </c>
      <c r="R829" s="5">
        <f>P829*L829</f>
        <v>187.83759599999991</v>
      </c>
      <c r="S829" s="5">
        <f>(R829/J829)*100</f>
        <v>5.7360581016586814</v>
      </c>
      <c r="V829" s="5"/>
      <c r="W829" s="6" t="s">
        <v>2220</v>
      </c>
    </row>
    <row r="830" spans="1:58" x14ac:dyDescent="0.15">
      <c r="A830" s="2" t="s">
        <v>97</v>
      </c>
      <c r="B830" s="2" t="s">
        <v>3932</v>
      </c>
      <c r="C830" s="2" t="s">
        <v>987</v>
      </c>
      <c r="D830" s="2" t="s">
        <v>543</v>
      </c>
      <c r="E830" s="1"/>
      <c r="F830" s="2" t="s">
        <v>148</v>
      </c>
      <c r="G830" s="2">
        <v>38.78</v>
      </c>
      <c r="H830" s="2" t="str">
        <f t="shared" si="32"/>
        <v>W</v>
      </c>
      <c r="I830" s="5">
        <v>29.5</v>
      </c>
      <c r="J830" s="5">
        <v>3120</v>
      </c>
      <c r="K830" s="7"/>
      <c r="L830" s="7">
        <v>12.2</v>
      </c>
      <c r="M830" s="2" t="s">
        <v>191</v>
      </c>
      <c r="N830" s="5"/>
      <c r="O830" s="5"/>
      <c r="P830" s="5"/>
      <c r="R830" s="5"/>
      <c r="S830" s="5"/>
      <c r="T830" s="2">
        <v>2</v>
      </c>
      <c r="U830" s="2" t="str">
        <f>IF(T830&lt;=1, "1",IF(AND(T830&gt;1,T830&lt;4), "2-3", "+4"))</f>
        <v>2-3</v>
      </c>
      <c r="V830" s="5"/>
      <c r="W830" s="6" t="s">
        <v>2385</v>
      </c>
    </row>
    <row r="831" spans="1:58" ht="14" customHeight="1" x14ac:dyDescent="0.15">
      <c r="A831" s="2" t="s">
        <v>97</v>
      </c>
      <c r="B831" s="2" t="s">
        <v>3932</v>
      </c>
      <c r="C831" s="2" t="s">
        <v>987</v>
      </c>
      <c r="D831" s="2" t="s">
        <v>714</v>
      </c>
      <c r="E831" s="1"/>
      <c r="F831" s="2" t="s">
        <v>229</v>
      </c>
      <c r="G831" s="2">
        <v>30.5</v>
      </c>
      <c r="H831" s="2" t="str">
        <f t="shared" si="32"/>
        <v>W</v>
      </c>
      <c r="I831" s="5">
        <v>22.26</v>
      </c>
      <c r="J831" s="5">
        <f xml:space="preserve"> 0.0001755*(I831*10)^2.9497</f>
        <v>1474.9322958359405</v>
      </c>
      <c r="K831" s="5"/>
      <c r="L831" s="5">
        <v>8.3000000000000007</v>
      </c>
      <c r="M831" s="2" t="s">
        <v>191</v>
      </c>
      <c r="N831" s="5">
        <v>42.19</v>
      </c>
      <c r="O831" s="5">
        <v>26.96</v>
      </c>
      <c r="P831" s="5">
        <f xml:space="preserve"> 0.398*N831 + 1.077*O831  - 28.048</f>
        <v>17.779540000000001</v>
      </c>
      <c r="Q831" s="2" t="s">
        <v>376</v>
      </c>
      <c r="R831" s="5">
        <v>147.57</v>
      </c>
      <c r="S831" s="5">
        <f>(R831/J831)*100</f>
        <v>10.005205012909588</v>
      </c>
      <c r="V831" s="5"/>
      <c r="W831" s="6" t="s">
        <v>3213</v>
      </c>
    </row>
    <row r="832" spans="1:58" hidden="1" x14ac:dyDescent="0.15">
      <c r="A832" s="2" t="s">
        <v>97</v>
      </c>
      <c r="B832" s="2" t="s">
        <v>3932</v>
      </c>
      <c r="C832" s="2" t="s">
        <v>987</v>
      </c>
      <c r="D832" s="2" t="s">
        <v>714</v>
      </c>
      <c r="E832" s="1" t="s">
        <v>3713</v>
      </c>
      <c r="F832" s="2" t="s">
        <v>182</v>
      </c>
      <c r="G832" s="2">
        <v>30.4</v>
      </c>
      <c r="H832" s="2" t="str">
        <f t="shared" si="32"/>
        <v>W</v>
      </c>
      <c r="I832" s="5">
        <v>24.59</v>
      </c>
      <c r="J832" s="5">
        <f xml:space="preserve"> 0.0001755*(I832*10)^2.9497</f>
        <v>1978.324607491141</v>
      </c>
      <c r="K832" s="5"/>
      <c r="L832" s="5">
        <v>8.4</v>
      </c>
      <c r="M832" s="2" t="s">
        <v>191</v>
      </c>
      <c r="N832" s="5">
        <v>41.9</v>
      </c>
      <c r="O832" s="5">
        <v>26.85</v>
      </c>
      <c r="P832" s="5">
        <f xml:space="preserve"> 0.398*N832 + 1.077*O832  - 28.048</f>
        <v>17.545649999999998</v>
      </c>
      <c r="Q832" s="2" t="s">
        <v>376</v>
      </c>
      <c r="R832" s="5">
        <f>P832*L832</f>
        <v>147.38345999999999</v>
      </c>
      <c r="S832" s="5">
        <f>(R832/J832)*100</f>
        <v>7.4499128930569078</v>
      </c>
      <c r="V832" s="5"/>
      <c r="W832" s="6" t="s">
        <v>1961</v>
      </c>
    </row>
    <row r="833" spans="1:58" x14ac:dyDescent="0.15">
      <c r="A833" s="2" t="s">
        <v>97</v>
      </c>
      <c r="B833" s="2" t="s">
        <v>3932</v>
      </c>
      <c r="C833" s="2" t="s">
        <v>987</v>
      </c>
      <c r="D833" s="2" t="s">
        <v>714</v>
      </c>
      <c r="E833" s="1"/>
      <c r="F833" s="2" t="s">
        <v>183</v>
      </c>
      <c r="G833" s="2">
        <v>29.9</v>
      </c>
      <c r="H833" s="2" t="str">
        <f t="shared" si="32"/>
        <v>W</v>
      </c>
      <c r="I833" s="5"/>
      <c r="J833" s="5"/>
      <c r="K833" s="5"/>
      <c r="L833" s="5"/>
      <c r="M833" s="2" t="s">
        <v>191</v>
      </c>
      <c r="N833" s="5"/>
      <c r="O833" s="5"/>
      <c r="P833" s="5"/>
      <c r="R833" s="5"/>
      <c r="S833" s="5"/>
      <c r="T833" s="2" t="s">
        <v>122</v>
      </c>
      <c r="V833" s="5"/>
      <c r="W833" s="6" t="s">
        <v>1814</v>
      </c>
    </row>
    <row r="834" spans="1:58" x14ac:dyDescent="0.15">
      <c r="A834" s="2" t="s">
        <v>97</v>
      </c>
      <c r="B834" s="2" t="s">
        <v>3932</v>
      </c>
      <c r="C834" s="2" t="s">
        <v>987</v>
      </c>
      <c r="D834" s="2" t="s">
        <v>714</v>
      </c>
      <c r="E834" s="1"/>
      <c r="F834" s="2" t="s">
        <v>521</v>
      </c>
      <c r="G834" s="2">
        <v>29.89</v>
      </c>
      <c r="H834" s="2" t="str">
        <f t="shared" si="32"/>
        <v>W</v>
      </c>
      <c r="I834" s="5">
        <f>0.9035*25.58</f>
        <v>23.111529999999998</v>
      </c>
      <c r="J834" s="5">
        <f xml:space="preserve"> 0.0001755*(I834*10)^2.9497</f>
        <v>1647.6411442797291</v>
      </c>
      <c r="K834" s="5"/>
      <c r="L834" s="5">
        <v>12.1</v>
      </c>
      <c r="M834" s="2" t="s">
        <v>191</v>
      </c>
      <c r="N834" s="5">
        <v>42.8</v>
      </c>
      <c r="O834" s="5">
        <v>28.5</v>
      </c>
      <c r="P834" s="5">
        <v>20.2</v>
      </c>
      <c r="Q834" s="2" t="s">
        <v>18</v>
      </c>
      <c r="R834" s="5">
        <v>244.2</v>
      </c>
      <c r="S834" s="5">
        <f>(R834/J834)*100</f>
        <v>14.821188512305127</v>
      </c>
      <c r="T834" s="2">
        <v>1.1870000000000001</v>
      </c>
      <c r="U834" s="2" t="str">
        <f>IF(T834&lt;=1, "1",IF(AND(T834&gt;1,T834&lt;4), "2-3", "+4"))</f>
        <v>2-3</v>
      </c>
      <c r="V834" s="5">
        <f>S834*T834</f>
        <v>17.592750764106189</v>
      </c>
      <c r="W834" s="6" t="s">
        <v>2260</v>
      </c>
    </row>
    <row r="835" spans="1:58" x14ac:dyDescent="0.15">
      <c r="A835" s="2" t="s">
        <v>97</v>
      </c>
      <c r="B835" s="28" t="s">
        <v>3932</v>
      </c>
      <c r="C835" s="28" t="s">
        <v>987</v>
      </c>
      <c r="D835" s="28" t="s">
        <v>714</v>
      </c>
      <c r="E835" s="43"/>
      <c r="F835" s="28" t="s">
        <v>4150</v>
      </c>
      <c r="G835" s="28">
        <v>29.71</v>
      </c>
      <c r="H835" s="28" t="s">
        <v>3887</v>
      </c>
      <c r="I835" s="44"/>
      <c r="J835" s="44"/>
      <c r="K835" s="44">
        <v>8.14</v>
      </c>
      <c r="L835" s="44"/>
      <c r="M835" s="28" t="s">
        <v>191</v>
      </c>
      <c r="N835" s="44"/>
      <c r="O835" s="44"/>
      <c r="P835" s="44"/>
      <c r="Q835" s="28"/>
      <c r="R835" s="44"/>
      <c r="S835" s="44"/>
      <c r="T835" s="28"/>
      <c r="U835" s="28"/>
      <c r="V835" s="44"/>
      <c r="W835" s="45" t="s">
        <v>4147</v>
      </c>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row>
    <row r="836" spans="1:58" x14ac:dyDescent="0.15">
      <c r="A836" s="2" t="s">
        <v>97</v>
      </c>
      <c r="B836" s="2" t="s">
        <v>3932</v>
      </c>
      <c r="C836" s="2" t="s">
        <v>987</v>
      </c>
      <c r="D836" s="2" t="s">
        <v>714</v>
      </c>
      <c r="E836" s="1"/>
      <c r="F836" s="2" t="s">
        <v>229</v>
      </c>
      <c r="H836" s="2" t="s">
        <v>3887</v>
      </c>
      <c r="K836" s="2">
        <v>6</v>
      </c>
      <c r="M836" s="2" t="s">
        <v>191</v>
      </c>
      <c r="W836" s="6" t="s">
        <v>4076</v>
      </c>
    </row>
    <row r="837" spans="1:58" x14ac:dyDescent="0.15">
      <c r="A837" s="2" t="s">
        <v>97</v>
      </c>
      <c r="B837" s="2" t="s">
        <v>3933</v>
      </c>
      <c r="C837" s="2" t="s">
        <v>996</v>
      </c>
      <c r="D837" s="2" t="s">
        <v>544</v>
      </c>
      <c r="E837" s="1" t="s">
        <v>995</v>
      </c>
      <c r="F837" s="2" t="s">
        <v>107</v>
      </c>
      <c r="G837" s="2">
        <v>38.9</v>
      </c>
      <c r="H837" s="2" t="str">
        <f t="shared" si="32"/>
        <v>W</v>
      </c>
      <c r="I837" s="5"/>
      <c r="J837" s="5"/>
      <c r="K837" s="5"/>
      <c r="L837" s="5">
        <v>4</v>
      </c>
      <c r="M837" s="2" t="s">
        <v>191</v>
      </c>
      <c r="N837" s="5">
        <v>33.700000000000003</v>
      </c>
      <c r="O837" s="5">
        <v>20.2</v>
      </c>
      <c r="P837" s="5">
        <v>8.6999999999999993</v>
      </c>
      <c r="Q837" s="2" t="s">
        <v>18</v>
      </c>
      <c r="R837" s="5">
        <v>34.799999999999997</v>
      </c>
      <c r="S837" s="5"/>
      <c r="T837" s="9"/>
      <c r="U837" s="9"/>
      <c r="V837" s="5"/>
      <c r="W837" s="6" t="s">
        <v>3216</v>
      </c>
    </row>
    <row r="838" spans="1:58" x14ac:dyDescent="0.15">
      <c r="A838" s="2" t="s">
        <v>97</v>
      </c>
      <c r="B838" s="2" t="s">
        <v>3933</v>
      </c>
      <c r="C838" s="2" t="s">
        <v>996</v>
      </c>
      <c r="D838" s="2" t="s">
        <v>544</v>
      </c>
      <c r="E838" s="1" t="s">
        <v>995</v>
      </c>
      <c r="F838" s="2" t="s">
        <v>374</v>
      </c>
      <c r="G838" s="2" t="s">
        <v>374</v>
      </c>
      <c r="H838" s="2" t="str">
        <f t="shared" si="32"/>
        <v>C</v>
      </c>
      <c r="I838" s="5">
        <v>13.83</v>
      </c>
      <c r="J838" s="5">
        <v>517.33000000000004</v>
      </c>
      <c r="K838" s="5"/>
      <c r="L838" s="5">
        <v>4.22</v>
      </c>
      <c r="M838" s="2" t="s">
        <v>191</v>
      </c>
      <c r="N838" s="5"/>
      <c r="O838" s="5"/>
      <c r="P838" s="5"/>
      <c r="R838" s="5"/>
      <c r="S838" s="5"/>
      <c r="T838" s="2">
        <v>2</v>
      </c>
      <c r="U838" s="2" t="str">
        <f>IF(T838&lt;=1, "1",IF(AND(T838&gt;1,T838&lt;4), "2-3", "+4"))</f>
        <v>2-3</v>
      </c>
      <c r="V838" s="5"/>
      <c r="W838" s="6" t="s">
        <v>2389</v>
      </c>
    </row>
    <row r="839" spans="1:58" x14ac:dyDescent="0.15">
      <c r="A839" s="2" t="s">
        <v>97</v>
      </c>
      <c r="B839" s="2" t="s">
        <v>3933</v>
      </c>
      <c r="C839" s="2" t="s">
        <v>996</v>
      </c>
      <c r="D839" s="2" t="s">
        <v>544</v>
      </c>
      <c r="E839" s="1" t="s">
        <v>995</v>
      </c>
      <c r="F839" s="2" t="s">
        <v>907</v>
      </c>
      <c r="G839" s="2">
        <v>40.78</v>
      </c>
      <c r="H839" s="2" t="str">
        <f t="shared" si="32"/>
        <v>W</v>
      </c>
      <c r="I839" s="5">
        <v>12.9</v>
      </c>
      <c r="J839" s="5">
        <f>0.0001619*((I839*10)^3.0434)</f>
        <v>429.15637978677125</v>
      </c>
      <c r="K839" s="5"/>
      <c r="L839" s="5">
        <v>4.0999999999999996</v>
      </c>
      <c r="M839" s="2" t="s">
        <v>191</v>
      </c>
      <c r="N839" s="5"/>
      <c r="O839" s="5"/>
      <c r="P839" s="5"/>
      <c r="R839" s="5"/>
      <c r="S839" s="5"/>
      <c r="T839" s="9">
        <v>1</v>
      </c>
      <c r="U839" s="2" t="str">
        <f>IF(T839&lt;=1, "1",IF(AND(T839&gt;1,T839&lt;4), "2-3", "+4"))</f>
        <v>1</v>
      </c>
      <c r="V839" s="5"/>
      <c r="W839" s="6" t="s">
        <v>1816</v>
      </c>
    </row>
    <row r="840" spans="1:58" x14ac:dyDescent="0.15">
      <c r="A840" s="2" t="s">
        <v>97</v>
      </c>
      <c r="B840" s="2" t="s">
        <v>3933</v>
      </c>
      <c r="C840" s="2" t="s">
        <v>996</v>
      </c>
      <c r="D840" s="2" t="s">
        <v>544</v>
      </c>
      <c r="E840" s="1" t="s">
        <v>995</v>
      </c>
      <c r="F840" s="2" t="s">
        <v>126</v>
      </c>
      <c r="G840" s="2">
        <v>33</v>
      </c>
      <c r="H840" s="2" t="str">
        <f t="shared" si="32"/>
        <v>W</v>
      </c>
      <c r="I840" s="5">
        <v>13.4</v>
      </c>
      <c r="J840" s="5">
        <v>372</v>
      </c>
      <c r="K840" s="5"/>
      <c r="L840" s="5">
        <v>3.4</v>
      </c>
      <c r="M840" s="2" t="s">
        <v>191</v>
      </c>
      <c r="N840" s="5">
        <v>35.6</v>
      </c>
      <c r="O840" s="5">
        <v>20.7</v>
      </c>
      <c r="P840" s="5">
        <v>9.02</v>
      </c>
      <c r="Q840" s="2" t="s">
        <v>18</v>
      </c>
      <c r="R840" s="5">
        <v>30.7</v>
      </c>
      <c r="S840" s="5">
        <f>0.08*100</f>
        <v>8</v>
      </c>
      <c r="V840" s="5"/>
      <c r="W840" s="6" t="s">
        <v>1783</v>
      </c>
    </row>
    <row r="841" spans="1:58" x14ac:dyDescent="0.15">
      <c r="A841" s="2" t="s">
        <v>97</v>
      </c>
      <c r="B841" s="2" t="s">
        <v>3933</v>
      </c>
      <c r="C841" s="2" t="s">
        <v>996</v>
      </c>
      <c r="D841" s="2" t="s">
        <v>544</v>
      </c>
      <c r="E841" s="1" t="s">
        <v>995</v>
      </c>
      <c r="F841" s="2" t="s">
        <v>120</v>
      </c>
      <c r="G841" s="2">
        <v>40.26</v>
      </c>
      <c r="H841" s="2" t="str">
        <f t="shared" si="32"/>
        <v>W</v>
      </c>
      <c r="I841" s="5"/>
      <c r="J841" s="5"/>
      <c r="K841" s="5"/>
      <c r="L841" s="5">
        <v>4</v>
      </c>
      <c r="M841" s="2" t="s">
        <v>191</v>
      </c>
      <c r="N841" s="5">
        <v>30</v>
      </c>
      <c r="O841" s="5">
        <v>17</v>
      </c>
      <c r="P841" s="5">
        <v>4.5599999999999996</v>
      </c>
      <c r="Q841" s="2" t="s">
        <v>376</v>
      </c>
      <c r="R841" s="5">
        <v>18.23</v>
      </c>
      <c r="S841" s="5"/>
      <c r="T841" s="9"/>
      <c r="U841" s="9"/>
      <c r="V841" s="5"/>
      <c r="W841" s="6" t="s">
        <v>3215</v>
      </c>
    </row>
    <row r="842" spans="1:58" x14ac:dyDescent="0.15">
      <c r="A842" s="2" t="s">
        <v>97</v>
      </c>
      <c r="B842" s="2" t="s">
        <v>3933</v>
      </c>
      <c r="C842" s="2" t="s">
        <v>996</v>
      </c>
      <c r="D842" s="2" t="s">
        <v>544</v>
      </c>
      <c r="E842" s="1" t="s">
        <v>995</v>
      </c>
      <c r="F842" s="2" t="s">
        <v>907</v>
      </c>
      <c r="G842" s="2">
        <v>40.590000000000003</v>
      </c>
      <c r="H842" s="2" t="str">
        <f t="shared" si="32"/>
        <v>W</v>
      </c>
      <c r="I842" s="5"/>
      <c r="J842" s="5"/>
      <c r="K842" s="5"/>
      <c r="L842" s="5">
        <v>5.8</v>
      </c>
      <c r="M842" s="2" t="s">
        <v>191</v>
      </c>
      <c r="N842" s="5"/>
      <c r="O842" s="5"/>
      <c r="P842" s="5"/>
      <c r="R842" s="5"/>
      <c r="S842" s="5"/>
      <c r="T842" s="9"/>
      <c r="U842" s="9"/>
      <c r="V842" s="5"/>
      <c r="W842" s="6" t="s">
        <v>3217</v>
      </c>
    </row>
    <row r="843" spans="1:58" x14ac:dyDescent="0.15">
      <c r="A843" s="1" t="s">
        <v>97</v>
      </c>
      <c r="B843" s="2" t="s">
        <v>3933</v>
      </c>
      <c r="C843" s="2" t="s">
        <v>996</v>
      </c>
      <c r="D843" s="2" t="s">
        <v>544</v>
      </c>
      <c r="E843" s="1" t="s">
        <v>3484</v>
      </c>
      <c r="F843" s="1" t="s">
        <v>374</v>
      </c>
      <c r="G843" s="1" t="s">
        <v>374</v>
      </c>
      <c r="H843" s="2" t="str">
        <f t="shared" si="32"/>
        <v>C</v>
      </c>
      <c r="I843" s="8">
        <v>15.51</v>
      </c>
      <c r="J843" s="8">
        <v>723</v>
      </c>
      <c r="K843" s="8"/>
      <c r="L843" s="8">
        <v>4.9000000000000004</v>
      </c>
      <c r="M843" s="2" t="s">
        <v>191</v>
      </c>
      <c r="N843" s="8">
        <v>35.299999999999997</v>
      </c>
      <c r="O843" s="8">
        <v>21.6</v>
      </c>
      <c r="P843" s="8">
        <v>9</v>
      </c>
      <c r="Q843" s="1" t="s">
        <v>18</v>
      </c>
      <c r="R843" s="8">
        <v>44.1</v>
      </c>
      <c r="S843" s="8">
        <v>6.1</v>
      </c>
      <c r="T843" s="1"/>
      <c r="U843" s="1"/>
      <c r="V843" s="8"/>
      <c r="W843" s="6" t="s">
        <v>3586</v>
      </c>
    </row>
    <row r="844" spans="1:58" x14ac:dyDescent="0.15">
      <c r="A844" s="2" t="s">
        <v>97</v>
      </c>
      <c r="B844" s="2" t="s">
        <v>3933</v>
      </c>
      <c r="C844" s="2" t="s">
        <v>996</v>
      </c>
      <c r="D844" s="2" t="s">
        <v>544</v>
      </c>
      <c r="E844" s="1" t="s">
        <v>3483</v>
      </c>
      <c r="F844" s="2" t="s">
        <v>69</v>
      </c>
      <c r="G844" s="2">
        <v>27.6</v>
      </c>
      <c r="H844" s="2" t="str">
        <f t="shared" si="32"/>
        <v>W</v>
      </c>
      <c r="I844" s="5">
        <v>13.65</v>
      </c>
      <c r="J844" s="5">
        <v>486.7</v>
      </c>
      <c r="K844" s="5">
        <v>7.5</v>
      </c>
      <c r="L844" s="5">
        <v>2.44</v>
      </c>
      <c r="M844" s="2" t="s">
        <v>191</v>
      </c>
      <c r="N844" s="5"/>
      <c r="O844" s="5"/>
      <c r="P844" s="5"/>
      <c r="R844" s="5"/>
      <c r="S844" s="5"/>
      <c r="T844" s="9">
        <f>MEDIAN(2,3)</f>
        <v>2.5</v>
      </c>
      <c r="U844" s="2" t="str">
        <f>IF(T844&lt;=1, "1",IF(AND(T844&gt;1,T844&lt;4), "2-3", "+4"))</f>
        <v>2-3</v>
      </c>
      <c r="V844" s="5"/>
      <c r="W844" s="6" t="s">
        <v>5156</v>
      </c>
    </row>
    <row r="845" spans="1:58" x14ac:dyDescent="0.15">
      <c r="A845" s="2" t="s">
        <v>97</v>
      </c>
      <c r="B845" s="2" t="s">
        <v>3933</v>
      </c>
      <c r="C845" s="2" t="s">
        <v>996</v>
      </c>
      <c r="D845" s="2" t="s">
        <v>544</v>
      </c>
      <c r="E845" s="1" t="s">
        <v>3483</v>
      </c>
      <c r="F845" s="2" t="s">
        <v>69</v>
      </c>
      <c r="G845" s="2">
        <v>27.6</v>
      </c>
      <c r="H845" s="2" t="str">
        <f t="shared" si="32"/>
        <v>W</v>
      </c>
      <c r="I845" s="5">
        <v>13.46</v>
      </c>
      <c r="J845" s="5">
        <v>461.2</v>
      </c>
      <c r="K845" s="5"/>
      <c r="L845" s="5">
        <v>2</v>
      </c>
      <c r="M845" s="2" t="s">
        <v>191</v>
      </c>
      <c r="N845" s="5"/>
      <c r="O845" s="5"/>
      <c r="P845" s="5"/>
      <c r="R845" s="5"/>
      <c r="S845" s="5"/>
      <c r="T845" s="9">
        <f>MEDIAN(2,3)</f>
        <v>2.5</v>
      </c>
      <c r="U845" s="2" t="str">
        <f>IF(T845&lt;=1, "1",IF(AND(T845&gt;1,T845&lt;4), "2-3", "+4"))</f>
        <v>2-3</v>
      </c>
      <c r="V845" s="5"/>
      <c r="W845" s="6" t="s">
        <v>3311</v>
      </c>
    </row>
    <row r="846" spans="1:58" x14ac:dyDescent="0.15">
      <c r="A846" s="2" t="s">
        <v>97</v>
      </c>
      <c r="B846" s="2" t="s">
        <v>3933</v>
      </c>
      <c r="C846" s="2" t="s">
        <v>996</v>
      </c>
      <c r="D846" s="2" t="s">
        <v>544</v>
      </c>
      <c r="E846" s="1" t="s">
        <v>3483</v>
      </c>
      <c r="F846" s="2" t="s">
        <v>69</v>
      </c>
      <c r="G846" s="2">
        <v>26</v>
      </c>
      <c r="H846" s="2" t="str">
        <f t="shared" si="32"/>
        <v>W</v>
      </c>
      <c r="I846" s="5">
        <v>14.07</v>
      </c>
      <c r="J846" s="5">
        <v>558.9</v>
      </c>
      <c r="K846" s="5"/>
      <c r="L846" s="5">
        <v>3</v>
      </c>
      <c r="M846" s="2" t="s">
        <v>191</v>
      </c>
      <c r="N846" s="5"/>
      <c r="O846" s="5"/>
      <c r="P846" s="5"/>
      <c r="R846" s="5"/>
      <c r="S846" s="5"/>
      <c r="T846" s="9" t="s">
        <v>636</v>
      </c>
      <c r="U846" s="9" t="s">
        <v>395</v>
      </c>
      <c r="V846" s="5"/>
      <c r="W846" s="6" t="s">
        <v>4118</v>
      </c>
    </row>
    <row r="847" spans="1:58" x14ac:dyDescent="0.15">
      <c r="A847" s="2" t="s">
        <v>97</v>
      </c>
      <c r="B847" s="2" t="s">
        <v>3933</v>
      </c>
      <c r="C847" s="2" t="s">
        <v>996</v>
      </c>
      <c r="D847" s="2" t="s">
        <v>544</v>
      </c>
      <c r="E847" s="1" t="s">
        <v>3484</v>
      </c>
      <c r="F847" s="2" t="s">
        <v>69</v>
      </c>
      <c r="G847" s="2" t="s">
        <v>374</v>
      </c>
      <c r="H847" s="2" t="str">
        <f t="shared" si="32"/>
        <v>C</v>
      </c>
      <c r="I847" s="5">
        <v>16</v>
      </c>
      <c r="J847" s="5">
        <v>730</v>
      </c>
      <c r="K847" s="5"/>
      <c r="L847" s="5">
        <v>4.18</v>
      </c>
      <c r="M847" s="2" t="s">
        <v>191</v>
      </c>
      <c r="N847" s="5">
        <v>38.68</v>
      </c>
      <c r="O847" s="5">
        <v>22.33</v>
      </c>
      <c r="P847" s="5">
        <v>11.522</v>
      </c>
      <c r="Q847" s="2" t="s">
        <v>18</v>
      </c>
      <c r="R847" s="5">
        <v>48.34</v>
      </c>
      <c r="S847" s="5">
        <v>6.62</v>
      </c>
      <c r="T847" s="2" t="s">
        <v>1915</v>
      </c>
      <c r="U847" s="40" t="s">
        <v>395</v>
      </c>
      <c r="V847" s="5"/>
      <c r="W847" s="6" t="s">
        <v>2391</v>
      </c>
    </row>
    <row r="848" spans="1:58" x14ac:dyDescent="0.15">
      <c r="A848" s="2" t="s">
        <v>97</v>
      </c>
      <c r="B848" s="2" t="s">
        <v>3933</v>
      </c>
      <c r="C848" s="2" t="s">
        <v>996</v>
      </c>
      <c r="D848" s="2" t="s">
        <v>544</v>
      </c>
      <c r="E848" s="1" t="s">
        <v>995</v>
      </c>
      <c r="F848" s="2" t="s">
        <v>2267</v>
      </c>
      <c r="H848" s="2" t="s">
        <v>3887</v>
      </c>
      <c r="I848" s="5">
        <v>14.57</v>
      </c>
      <c r="J848" s="5">
        <f>0.0001619*((I848*10)^3.0434)</f>
        <v>621.6123704742231</v>
      </c>
      <c r="K848" s="5"/>
      <c r="L848" s="5">
        <v>6.67</v>
      </c>
      <c r="M848" s="2" t="s">
        <v>191</v>
      </c>
      <c r="N848" s="5"/>
      <c r="O848" s="5"/>
      <c r="P848" s="5"/>
      <c r="R848" s="5"/>
      <c r="S848" s="5"/>
      <c r="V848" s="5"/>
      <c r="W848" s="6" t="s">
        <v>2449</v>
      </c>
    </row>
    <row r="849" spans="1:23" x14ac:dyDescent="0.15">
      <c r="A849" s="2" t="s">
        <v>97</v>
      </c>
      <c r="B849" s="2" t="s">
        <v>3933</v>
      </c>
      <c r="C849" s="2" t="s">
        <v>996</v>
      </c>
      <c r="D849" s="2" t="s">
        <v>544</v>
      </c>
      <c r="E849" s="1" t="s">
        <v>995</v>
      </c>
      <c r="F849" s="2" t="s">
        <v>186</v>
      </c>
      <c r="H849" s="2" t="s">
        <v>3887</v>
      </c>
      <c r="I849" s="5"/>
      <c r="J849" s="5"/>
      <c r="K849" s="5"/>
      <c r="L849" s="5">
        <f>AVERAGE(4.94,5.38)</f>
        <v>5.16</v>
      </c>
      <c r="M849" s="2" t="s">
        <v>191</v>
      </c>
      <c r="N849" s="5"/>
      <c r="O849" s="5"/>
      <c r="P849" s="5"/>
      <c r="R849" s="5"/>
      <c r="S849" s="5"/>
      <c r="V849" s="5"/>
      <c r="W849" s="6" t="s">
        <v>1818</v>
      </c>
    </row>
    <row r="850" spans="1:23" x14ac:dyDescent="0.15">
      <c r="A850" s="2" t="s">
        <v>97</v>
      </c>
      <c r="B850" s="2" t="s">
        <v>3933</v>
      </c>
      <c r="C850" s="2" t="s">
        <v>996</v>
      </c>
      <c r="D850" s="2" t="s">
        <v>544</v>
      </c>
      <c r="E850" s="1" t="s">
        <v>995</v>
      </c>
      <c r="F850" s="2" t="s">
        <v>107</v>
      </c>
      <c r="H850" s="2" t="s">
        <v>3887</v>
      </c>
      <c r="I850" s="5">
        <v>13.01</v>
      </c>
      <c r="J850" s="5">
        <v>421.5</v>
      </c>
      <c r="K850" s="5"/>
      <c r="L850" s="5">
        <v>4.0999999999999996</v>
      </c>
      <c r="M850" s="2" t="s">
        <v>191</v>
      </c>
      <c r="N850" s="5">
        <v>35.4</v>
      </c>
      <c r="O850" s="5">
        <v>21.3</v>
      </c>
      <c r="P850" s="5">
        <v>9.8000000000000007</v>
      </c>
      <c r="Q850" s="2" t="s">
        <v>18</v>
      </c>
      <c r="R850" s="5">
        <v>40.18</v>
      </c>
      <c r="S850" s="5">
        <v>9.5299999999999994</v>
      </c>
      <c r="T850" s="2">
        <v>1</v>
      </c>
      <c r="U850" s="2" t="str">
        <f>IF(T850&lt;=1, "1",IF(AND(T850&gt;1,T850&lt;4), "2-3", "+4"))</f>
        <v>1</v>
      </c>
      <c r="V850" s="5">
        <f>S850*T850</f>
        <v>9.5299999999999994</v>
      </c>
      <c r="W850" s="6" t="s">
        <v>2221</v>
      </c>
    </row>
    <row r="851" spans="1:23" x14ac:dyDescent="0.15">
      <c r="A851" s="2" t="s">
        <v>97</v>
      </c>
      <c r="B851" s="2" t="s">
        <v>3933</v>
      </c>
      <c r="C851" s="2" t="s">
        <v>996</v>
      </c>
      <c r="D851" s="2" t="s">
        <v>544</v>
      </c>
      <c r="E851" s="1" t="s">
        <v>995</v>
      </c>
      <c r="F851" s="2" t="s">
        <v>107</v>
      </c>
      <c r="G851" s="2">
        <v>37.090000000000003</v>
      </c>
      <c r="H851" s="2" t="str">
        <f t="shared" si="32"/>
        <v>W</v>
      </c>
      <c r="I851" s="5">
        <v>12.5</v>
      </c>
      <c r="J851" s="5">
        <f>0.0001619*((I851*10)^3.0434)</f>
        <v>389.92652768517922</v>
      </c>
      <c r="K851" s="7"/>
      <c r="L851" s="7">
        <v>3</v>
      </c>
      <c r="M851" s="2" t="s">
        <v>191</v>
      </c>
      <c r="N851" s="5">
        <v>35.5</v>
      </c>
      <c r="O851" s="5">
        <v>19.2</v>
      </c>
      <c r="P851" s="5">
        <v>7.9</v>
      </c>
      <c r="Q851" s="2" t="s">
        <v>18</v>
      </c>
      <c r="R851" s="5">
        <v>23.7</v>
      </c>
      <c r="S851" s="5">
        <f>(R851/J851)*100</f>
        <v>6.0780681275255581</v>
      </c>
      <c r="V851" s="5"/>
      <c r="W851" s="6" t="s">
        <v>2388</v>
      </c>
    </row>
    <row r="852" spans="1:23" x14ac:dyDescent="0.15">
      <c r="A852" s="2" t="s">
        <v>97</v>
      </c>
      <c r="B852" s="2" t="s">
        <v>3933</v>
      </c>
      <c r="C852" s="2" t="s">
        <v>996</v>
      </c>
      <c r="D852" s="2" t="s">
        <v>544</v>
      </c>
      <c r="E852" s="1" t="s">
        <v>995</v>
      </c>
      <c r="F852" s="2" t="s">
        <v>538</v>
      </c>
      <c r="H852" s="2" t="s">
        <v>3887</v>
      </c>
      <c r="I852" s="5">
        <v>12.36</v>
      </c>
      <c r="J852" s="5">
        <f>0.0001619*((I852*10)^3.0434)</f>
        <v>376.78695870363873</v>
      </c>
      <c r="K852" s="5"/>
      <c r="L852" s="5">
        <v>3.44</v>
      </c>
      <c r="M852" s="5" t="s">
        <v>191</v>
      </c>
      <c r="N852" s="5">
        <v>33.643999999999998</v>
      </c>
      <c r="O852" s="5">
        <v>20.02</v>
      </c>
      <c r="P852" s="5">
        <f xml:space="preserve"> 0.338*N852 + 0.771*O852 - 18.69</f>
        <v>8.1170919999999995</v>
      </c>
      <c r="Q852" s="2" t="s">
        <v>376</v>
      </c>
      <c r="R852" s="5">
        <v>27.96</v>
      </c>
      <c r="S852" s="5">
        <f>(R852/J852)*100</f>
        <v>7.4206389988120316</v>
      </c>
      <c r="V852" s="5"/>
      <c r="W852" s="6" t="s">
        <v>2220</v>
      </c>
    </row>
    <row r="853" spans="1:23" x14ac:dyDescent="0.15">
      <c r="A853" s="2" t="s">
        <v>97</v>
      </c>
      <c r="B853" s="2" t="s">
        <v>3933</v>
      </c>
      <c r="C853" s="2" t="s">
        <v>996</v>
      </c>
      <c r="D853" s="2" t="s">
        <v>544</v>
      </c>
      <c r="E853" s="1" t="s">
        <v>995</v>
      </c>
      <c r="F853" s="2" t="s">
        <v>538</v>
      </c>
      <c r="G853" s="2">
        <v>35.5</v>
      </c>
      <c r="H853" s="2" t="str">
        <f t="shared" si="32"/>
        <v>W</v>
      </c>
      <c r="I853" s="5">
        <f>(EXP(LN(J853/0.0001619)/3.0434))/10</f>
        <v>11.988867396607001</v>
      </c>
      <c r="J853" s="5">
        <v>343.4</v>
      </c>
      <c r="K853" s="5"/>
      <c r="L853" s="5">
        <v>3</v>
      </c>
      <c r="M853" s="2" t="s">
        <v>191</v>
      </c>
      <c r="N853" s="5"/>
      <c r="O853" s="5"/>
      <c r="P853" s="5"/>
      <c r="R853" s="5"/>
      <c r="S853" s="5"/>
      <c r="T853" s="9"/>
      <c r="U853" s="9"/>
      <c r="V853" s="5"/>
      <c r="W853" s="6" t="s">
        <v>3218</v>
      </c>
    </row>
    <row r="854" spans="1:23" x14ac:dyDescent="0.15">
      <c r="A854" s="2" t="s">
        <v>97</v>
      </c>
      <c r="B854" s="2" t="s">
        <v>3933</v>
      </c>
      <c r="C854" s="2" t="s">
        <v>996</v>
      </c>
      <c r="D854" s="2" t="s">
        <v>544</v>
      </c>
      <c r="E854" s="1" t="s">
        <v>995</v>
      </c>
      <c r="F854" s="2" t="s">
        <v>177</v>
      </c>
      <c r="G854" s="2">
        <v>38.97</v>
      </c>
      <c r="H854" s="2" t="str">
        <f t="shared" si="32"/>
        <v>W</v>
      </c>
      <c r="I854" s="5">
        <f>EXP((LN(J854/0.0001619))/3.0434)/10</f>
        <v>14.785361042242631</v>
      </c>
      <c r="J854" s="5">
        <v>650</v>
      </c>
      <c r="K854" s="5"/>
      <c r="L854" s="5">
        <v>6.67</v>
      </c>
      <c r="M854" s="2" t="s">
        <v>191</v>
      </c>
      <c r="N854" s="5">
        <v>33</v>
      </c>
      <c r="O854" s="5">
        <v>21.67</v>
      </c>
      <c r="P854" s="5">
        <v>9.36</v>
      </c>
      <c r="Q854" s="2" t="s">
        <v>18</v>
      </c>
      <c r="R854" s="5">
        <v>62.41</v>
      </c>
      <c r="S854" s="5">
        <v>9.6</v>
      </c>
      <c r="T854" s="9"/>
      <c r="U854" s="9"/>
      <c r="V854" s="5"/>
      <c r="W854" s="6" t="s">
        <v>3207</v>
      </c>
    </row>
    <row r="855" spans="1:23" x14ac:dyDescent="0.15">
      <c r="A855" s="2" t="s">
        <v>97</v>
      </c>
      <c r="B855" s="2" t="s">
        <v>3933</v>
      </c>
      <c r="C855" s="2" t="s">
        <v>996</v>
      </c>
      <c r="D855" s="2" t="s">
        <v>544</v>
      </c>
      <c r="E855" s="1" t="s">
        <v>995</v>
      </c>
      <c r="F855" s="2" t="s">
        <v>177</v>
      </c>
      <c r="G855" s="2">
        <v>39</v>
      </c>
      <c r="H855" s="2" t="str">
        <f t="shared" si="32"/>
        <v>W</v>
      </c>
      <c r="I855" s="5">
        <v>13.2</v>
      </c>
      <c r="J855" s="5">
        <v>550</v>
      </c>
      <c r="K855" s="5"/>
      <c r="L855" s="5">
        <v>4.9000000000000004</v>
      </c>
      <c r="M855" s="2" t="s">
        <v>191</v>
      </c>
      <c r="N855" s="5">
        <v>35.9</v>
      </c>
      <c r="O855" s="5">
        <v>21.6</v>
      </c>
      <c r="P855" s="5">
        <v>10.31</v>
      </c>
      <c r="Q855" s="2" t="s">
        <v>18</v>
      </c>
      <c r="R855" s="5">
        <v>49.9</v>
      </c>
      <c r="S855" s="5">
        <v>9.0730000000000004</v>
      </c>
      <c r="V855" s="5"/>
      <c r="W855" s="6" t="s">
        <v>2387</v>
      </c>
    </row>
    <row r="856" spans="1:23" x14ac:dyDescent="0.15">
      <c r="A856" s="2" t="s">
        <v>97</v>
      </c>
      <c r="B856" s="2" t="s">
        <v>3933</v>
      </c>
      <c r="C856" s="2" t="s">
        <v>996</v>
      </c>
      <c r="D856" s="2" t="s">
        <v>544</v>
      </c>
      <c r="E856" s="1" t="s">
        <v>995</v>
      </c>
      <c r="F856" s="2" t="s">
        <v>177</v>
      </c>
      <c r="G856" s="2">
        <v>39.1</v>
      </c>
      <c r="H856" s="2" t="str">
        <f t="shared" si="32"/>
        <v>W</v>
      </c>
      <c r="I856" s="5">
        <v>13.2</v>
      </c>
      <c r="J856" s="5">
        <v>550</v>
      </c>
      <c r="K856" s="5"/>
      <c r="L856" s="5">
        <v>4.9000000000000004</v>
      </c>
      <c r="M856" s="2" t="s">
        <v>191</v>
      </c>
      <c r="N856" s="5">
        <v>35.9</v>
      </c>
      <c r="O856" s="5">
        <v>21.6</v>
      </c>
      <c r="P856" s="5">
        <v>10.31</v>
      </c>
      <c r="Q856" s="2" t="s">
        <v>18</v>
      </c>
      <c r="R856" s="5">
        <v>49.9</v>
      </c>
      <c r="S856" s="5">
        <v>9.07</v>
      </c>
      <c r="V856" s="5"/>
      <c r="W856" s="6" t="s">
        <v>2387</v>
      </c>
    </row>
    <row r="857" spans="1:23" x14ac:dyDescent="0.15">
      <c r="A857" s="2" t="s">
        <v>97</v>
      </c>
      <c r="B857" s="2" t="s">
        <v>3933</v>
      </c>
      <c r="C857" s="2" t="s">
        <v>996</v>
      </c>
      <c r="D857" s="2" t="s">
        <v>544</v>
      </c>
      <c r="E857" s="1" t="s">
        <v>3484</v>
      </c>
      <c r="F857" s="2" t="s">
        <v>69</v>
      </c>
      <c r="G857" s="2">
        <v>30</v>
      </c>
      <c r="H857" s="2" t="str">
        <f t="shared" si="32"/>
        <v>W</v>
      </c>
      <c r="I857" s="5">
        <v>14.77</v>
      </c>
      <c r="J857" s="5">
        <v>647.9</v>
      </c>
      <c r="K857" s="5"/>
      <c r="L857" s="5">
        <v>4.5</v>
      </c>
      <c r="M857" s="2" t="s">
        <v>191</v>
      </c>
      <c r="N857" s="5">
        <v>34.9</v>
      </c>
      <c r="O857" s="5">
        <v>21.8</v>
      </c>
      <c r="P857" s="5">
        <v>9.91</v>
      </c>
      <c r="Q857" s="2" t="s">
        <v>376</v>
      </c>
      <c r="R857" s="5">
        <v>44.61</v>
      </c>
      <c r="S857" s="5">
        <v>6.89</v>
      </c>
      <c r="V857" s="5"/>
      <c r="W857" s="6" t="s">
        <v>3340</v>
      </c>
    </row>
    <row r="858" spans="1:23" x14ac:dyDescent="0.15">
      <c r="A858" s="2" t="s">
        <v>97</v>
      </c>
      <c r="B858" s="2" t="s">
        <v>3933</v>
      </c>
      <c r="C858" s="2" t="s">
        <v>996</v>
      </c>
      <c r="D858" s="2" t="s">
        <v>544</v>
      </c>
      <c r="E858" s="1" t="s">
        <v>3484</v>
      </c>
      <c r="F858" s="2" t="s">
        <v>69</v>
      </c>
      <c r="G858" s="2">
        <v>30</v>
      </c>
      <c r="H858" s="2" t="str">
        <f t="shared" si="32"/>
        <v>W</v>
      </c>
      <c r="I858" s="5"/>
      <c r="J858" s="5"/>
      <c r="K858" s="5"/>
      <c r="L858" s="5">
        <v>2.73</v>
      </c>
      <c r="M858" s="2" t="s">
        <v>191</v>
      </c>
      <c r="N858" s="5"/>
      <c r="O858" s="5"/>
      <c r="P858" s="5"/>
      <c r="R858" s="5"/>
      <c r="S858" s="5"/>
      <c r="T858" s="2" t="s">
        <v>893</v>
      </c>
      <c r="U858" s="40" t="s">
        <v>4047</v>
      </c>
      <c r="V858" s="5"/>
      <c r="W858" s="6" t="s">
        <v>2390</v>
      </c>
    </row>
    <row r="859" spans="1:23" x14ac:dyDescent="0.15">
      <c r="A859" s="2" t="s">
        <v>97</v>
      </c>
      <c r="B859" s="2" t="s">
        <v>3933</v>
      </c>
      <c r="C859" s="2" t="s">
        <v>996</v>
      </c>
      <c r="D859" s="2" t="s">
        <v>544</v>
      </c>
      <c r="E859" s="1" t="s">
        <v>995</v>
      </c>
      <c r="F859" s="2" t="s">
        <v>177</v>
      </c>
      <c r="G859" s="2">
        <v>39.1</v>
      </c>
      <c r="H859" s="2" t="str">
        <f t="shared" si="32"/>
        <v>W</v>
      </c>
      <c r="I859" s="5">
        <v>12.8</v>
      </c>
      <c r="J859" s="5">
        <v>595</v>
      </c>
      <c r="K859" s="5"/>
      <c r="L859" s="5">
        <v>5</v>
      </c>
      <c r="M859" s="2" t="s">
        <v>191</v>
      </c>
      <c r="N859" s="5">
        <v>35.299999999999997</v>
      </c>
      <c r="O859" s="5">
        <v>21.3</v>
      </c>
      <c r="P859" s="5">
        <v>9.73</v>
      </c>
      <c r="Q859" s="2" t="s">
        <v>18</v>
      </c>
      <c r="R859" s="5">
        <v>48.65</v>
      </c>
      <c r="S859" s="5">
        <v>8.18</v>
      </c>
      <c r="V859" s="5"/>
      <c r="W859" s="6" t="s">
        <v>3206</v>
      </c>
    </row>
    <row r="860" spans="1:23" x14ac:dyDescent="0.15">
      <c r="A860" s="2" t="s">
        <v>97</v>
      </c>
      <c r="B860" s="2" t="s">
        <v>3933</v>
      </c>
      <c r="C860" s="2" t="s">
        <v>996</v>
      </c>
      <c r="D860" s="2" t="s">
        <v>544</v>
      </c>
      <c r="E860" s="1" t="s">
        <v>995</v>
      </c>
      <c r="F860" s="2" t="s">
        <v>2267</v>
      </c>
      <c r="G860" s="2">
        <v>41.2</v>
      </c>
      <c r="H860" s="2" t="str">
        <f t="shared" ref="H860:H891" si="33">IF(G860="captive","C","W")</f>
        <v>W</v>
      </c>
      <c r="I860" s="5">
        <v>15.9</v>
      </c>
      <c r="J860" s="5">
        <v>853</v>
      </c>
      <c r="K860" s="5"/>
      <c r="L860" s="5">
        <v>11</v>
      </c>
      <c r="M860" s="2" t="s">
        <v>191</v>
      </c>
      <c r="N860" s="5">
        <v>33</v>
      </c>
      <c r="O860" s="5">
        <v>22.3</v>
      </c>
      <c r="P860" s="5">
        <v>9.6999999999999993</v>
      </c>
      <c r="Q860" s="2" t="s">
        <v>18</v>
      </c>
      <c r="R860" s="5">
        <v>106.7</v>
      </c>
      <c r="S860" s="5">
        <v>12.51</v>
      </c>
      <c r="T860" s="9"/>
      <c r="U860" s="9"/>
      <c r="V860" s="5"/>
      <c r="W860" s="6" t="s">
        <v>3219</v>
      </c>
    </row>
    <row r="861" spans="1:23" x14ac:dyDescent="0.15">
      <c r="A861" s="2" t="s">
        <v>97</v>
      </c>
      <c r="B861" s="2" t="s">
        <v>3933</v>
      </c>
      <c r="C861" s="2" t="s">
        <v>996</v>
      </c>
      <c r="D861" s="2" t="s">
        <v>544</v>
      </c>
      <c r="E861" s="1" t="s">
        <v>995</v>
      </c>
      <c r="F861" s="2" t="s">
        <v>184</v>
      </c>
      <c r="G861" s="2">
        <v>43.3</v>
      </c>
      <c r="H861" s="2" t="str">
        <f t="shared" si="33"/>
        <v>W</v>
      </c>
      <c r="I861" s="5">
        <f>MEDIAN(12.5,15.5)</f>
        <v>14</v>
      </c>
      <c r="J861" s="5">
        <f xml:space="preserve"> 0.0001619*(I861*10)^3.0434</f>
        <v>550.51976084157889</v>
      </c>
      <c r="K861" s="5"/>
      <c r="L861" s="5">
        <v>5.87</v>
      </c>
      <c r="M861" s="2" t="s">
        <v>191</v>
      </c>
      <c r="N861" s="5"/>
      <c r="O861" s="5"/>
      <c r="P861" s="5"/>
      <c r="R861" s="5"/>
      <c r="S861" s="5"/>
      <c r="V861" s="5"/>
      <c r="W861" s="6" t="s">
        <v>1815</v>
      </c>
    </row>
    <row r="862" spans="1:23" x14ac:dyDescent="0.15">
      <c r="A862" s="2" t="s">
        <v>97</v>
      </c>
      <c r="B862" s="2" t="s">
        <v>3933</v>
      </c>
      <c r="C862" s="2" t="s">
        <v>996</v>
      </c>
      <c r="D862" s="2" t="s">
        <v>544</v>
      </c>
      <c r="E862" s="1" t="s">
        <v>995</v>
      </c>
      <c r="F862" s="2" t="s">
        <v>185</v>
      </c>
      <c r="G862" s="2">
        <v>37.4</v>
      </c>
      <c r="H862" s="2" t="str">
        <f t="shared" si="33"/>
        <v>W</v>
      </c>
      <c r="I862" s="5">
        <v>12.472</v>
      </c>
      <c r="J862" s="5">
        <f xml:space="preserve"> 0.0001619*(I862*10)^3.0434</f>
        <v>387.27439319073426</v>
      </c>
      <c r="K862" s="5"/>
      <c r="L862" s="5">
        <v>3.15</v>
      </c>
      <c r="M862" s="2" t="s">
        <v>191</v>
      </c>
      <c r="N862" s="5">
        <v>35.74</v>
      </c>
      <c r="O862" s="5">
        <v>20.88</v>
      </c>
      <c r="P862" s="5">
        <v>9.4700000000000006</v>
      </c>
      <c r="Q862" s="2" t="s">
        <v>18</v>
      </c>
      <c r="R862" s="5">
        <f>P862*L862</f>
        <v>29.830500000000001</v>
      </c>
      <c r="S862" s="5">
        <f>(R862/J862)*100</f>
        <v>7.7026781332553416</v>
      </c>
      <c r="V862" s="5"/>
      <c r="W862" s="6" t="s">
        <v>1817</v>
      </c>
    </row>
    <row r="863" spans="1:23" x14ac:dyDescent="0.15">
      <c r="A863" s="2" t="s">
        <v>97</v>
      </c>
      <c r="B863" s="2" t="s">
        <v>3933</v>
      </c>
      <c r="C863" s="2" t="s">
        <v>996</v>
      </c>
      <c r="D863" s="2" t="s">
        <v>544</v>
      </c>
      <c r="E863" s="1" t="s">
        <v>3484</v>
      </c>
      <c r="F863" s="2" t="s">
        <v>107</v>
      </c>
      <c r="G863" s="2">
        <v>37.42</v>
      </c>
      <c r="H863" s="2" t="str">
        <f t="shared" si="33"/>
        <v>W</v>
      </c>
      <c r="I863" s="5"/>
      <c r="J863" s="5"/>
      <c r="K863" s="5"/>
      <c r="L863" s="5">
        <v>3.1</v>
      </c>
      <c r="M863" s="2" t="s">
        <v>191</v>
      </c>
      <c r="N863" s="5"/>
      <c r="O863" s="5"/>
      <c r="P863" s="5"/>
      <c r="R863" s="5"/>
      <c r="S863" s="5"/>
      <c r="V863" s="5"/>
      <c r="W863" s="6" t="s">
        <v>3430</v>
      </c>
    </row>
    <row r="864" spans="1:23" x14ac:dyDescent="0.15">
      <c r="A864" s="2" t="s">
        <v>97</v>
      </c>
      <c r="B864" s="2" t="s">
        <v>3933</v>
      </c>
      <c r="C864" s="2" t="s">
        <v>996</v>
      </c>
      <c r="D864" s="2" t="s">
        <v>715</v>
      </c>
      <c r="E864" s="1"/>
      <c r="F864" s="2" t="s">
        <v>374</v>
      </c>
      <c r="G864" s="2" t="s">
        <v>374</v>
      </c>
      <c r="H864" s="2" t="str">
        <f t="shared" si="33"/>
        <v>C</v>
      </c>
      <c r="I864" s="5"/>
      <c r="J864" s="5"/>
      <c r="K864" s="5">
        <v>4</v>
      </c>
      <c r="L864" s="7">
        <f>MEDIAN(2,6)</f>
        <v>4</v>
      </c>
      <c r="M864" s="2" t="s">
        <v>191</v>
      </c>
      <c r="N864" s="5"/>
      <c r="O864" s="5"/>
      <c r="P864" s="5"/>
      <c r="R864" s="5"/>
      <c r="S864" s="5"/>
      <c r="T864" s="2">
        <v>3</v>
      </c>
      <c r="U864" s="2" t="str">
        <f>IF(T864&lt;=1, "1",IF(AND(T864&gt;1,T864&lt;4), "2-3", "+4"))</f>
        <v>2-3</v>
      </c>
      <c r="V864" s="5"/>
      <c r="W864" s="6" t="s">
        <v>2261</v>
      </c>
    </row>
    <row r="865" spans="1:23" x14ac:dyDescent="0.15">
      <c r="A865" s="2" t="s">
        <v>97</v>
      </c>
      <c r="B865" s="2" t="s">
        <v>3933</v>
      </c>
      <c r="C865" s="2" t="s">
        <v>996</v>
      </c>
      <c r="D865" s="2" t="s">
        <v>715</v>
      </c>
      <c r="E865" s="1"/>
      <c r="F865" s="2" t="s">
        <v>379</v>
      </c>
      <c r="G865" s="2">
        <v>27</v>
      </c>
      <c r="H865" s="2" t="str">
        <f t="shared" si="33"/>
        <v>W</v>
      </c>
      <c r="I865" s="5">
        <v>10.16</v>
      </c>
      <c r="J865" s="5">
        <f xml:space="preserve"> 0.0056286*(I865*10)^2.3313</f>
        <v>268.57877439833095</v>
      </c>
      <c r="K865" s="5"/>
      <c r="L865" s="5">
        <v>2.2999999999999998</v>
      </c>
      <c r="M865" s="2" t="s">
        <v>191</v>
      </c>
      <c r="N865" s="5">
        <v>33.200000000000003</v>
      </c>
      <c r="O865" s="5">
        <v>16.899999999999999</v>
      </c>
      <c r="P865" s="5">
        <v>5.66</v>
      </c>
      <c r="Q865" s="2" t="s">
        <v>18</v>
      </c>
      <c r="R865" s="5">
        <v>13.02</v>
      </c>
      <c r="S865" s="5">
        <f>(R865/J865)*100</f>
        <v>4.8477397475535247</v>
      </c>
      <c r="T865" s="2">
        <v>2</v>
      </c>
      <c r="U865" s="2" t="str">
        <f>IF(T865&lt;=1, "1",IF(AND(T865&gt;1,T865&lt;4), "2-3", "+4"))</f>
        <v>2-3</v>
      </c>
      <c r="V865" s="5">
        <f>S865*T865</f>
        <v>9.6954794951070493</v>
      </c>
      <c r="W865" s="6" t="s">
        <v>1976</v>
      </c>
    </row>
    <row r="866" spans="1:23" x14ac:dyDescent="0.15">
      <c r="A866" s="2" t="s">
        <v>97</v>
      </c>
      <c r="B866" s="2" t="s">
        <v>3933</v>
      </c>
      <c r="C866" s="2" t="s">
        <v>996</v>
      </c>
      <c r="D866" s="2" t="s">
        <v>715</v>
      </c>
      <c r="E866" s="1"/>
      <c r="F866" s="2" t="s">
        <v>374</v>
      </c>
      <c r="G866" s="2" t="s">
        <v>374</v>
      </c>
      <c r="H866" s="2" t="str">
        <f t="shared" si="33"/>
        <v>C</v>
      </c>
      <c r="I866" s="5">
        <v>13.53</v>
      </c>
      <c r="J866" s="5">
        <v>526.6</v>
      </c>
      <c r="K866" s="5"/>
      <c r="L866" s="5">
        <v>4.13</v>
      </c>
      <c r="M866" s="2" t="s">
        <v>191</v>
      </c>
      <c r="N866" s="5">
        <v>30.4</v>
      </c>
      <c r="O866" s="5">
        <v>19.399999999999999</v>
      </c>
      <c r="P866" s="5">
        <v>6.43</v>
      </c>
      <c r="Q866" s="2" t="s">
        <v>18</v>
      </c>
      <c r="R866" s="5">
        <v>26.56</v>
      </c>
      <c r="S866" s="5">
        <v>5.04</v>
      </c>
      <c r="T866" s="2">
        <v>1.98</v>
      </c>
      <c r="U866" s="2" t="str">
        <f>IF(T866&lt;=1, "1",IF(AND(T866&gt;1,T866&lt;4), "2-3", "+4"))</f>
        <v>2-3</v>
      </c>
      <c r="V866" s="5">
        <f>S866*T866</f>
        <v>9.9792000000000005</v>
      </c>
      <c r="W866" s="6" t="s">
        <v>3221</v>
      </c>
    </row>
    <row r="867" spans="1:23" x14ac:dyDescent="0.15">
      <c r="A867" s="2" t="s">
        <v>97</v>
      </c>
      <c r="B867" s="2" t="s">
        <v>3933</v>
      </c>
      <c r="C867" s="2" t="s">
        <v>996</v>
      </c>
      <c r="D867" s="2" t="s">
        <v>715</v>
      </c>
      <c r="E867" s="1"/>
      <c r="F867" s="2" t="s">
        <v>374</v>
      </c>
      <c r="G867" s="2" t="s">
        <v>374</v>
      </c>
      <c r="H867" s="2" t="str">
        <f t="shared" si="33"/>
        <v>C</v>
      </c>
      <c r="I867" s="5"/>
      <c r="J867" s="5"/>
      <c r="K867" s="5"/>
      <c r="L867" s="5">
        <v>8</v>
      </c>
      <c r="M867" s="2" t="s">
        <v>191</v>
      </c>
      <c r="N867" s="5">
        <v>29</v>
      </c>
      <c r="O867" s="5">
        <v>18.7</v>
      </c>
      <c r="P867" s="5">
        <v>5.9</v>
      </c>
      <c r="Q867" s="2" t="s">
        <v>18</v>
      </c>
      <c r="R867" s="5">
        <f>P867*L867</f>
        <v>47.2</v>
      </c>
      <c r="S867" s="5"/>
      <c r="V867" s="5"/>
      <c r="W867" s="6" t="s">
        <v>2394</v>
      </c>
    </row>
    <row r="868" spans="1:23" x14ac:dyDescent="0.15">
      <c r="A868" s="2" t="s">
        <v>97</v>
      </c>
      <c r="B868" s="2" t="s">
        <v>3933</v>
      </c>
      <c r="C868" s="2" t="s">
        <v>996</v>
      </c>
      <c r="D868" s="2" t="s">
        <v>715</v>
      </c>
      <c r="E868" s="1"/>
      <c r="F868" s="2" t="s">
        <v>374</v>
      </c>
      <c r="G868" s="2" t="s">
        <v>374</v>
      </c>
      <c r="H868" s="2" t="str">
        <f t="shared" si="33"/>
        <v>C</v>
      </c>
      <c r="I868" s="5">
        <v>13.4</v>
      </c>
      <c r="J868" s="5">
        <v>515</v>
      </c>
      <c r="K868" s="5">
        <v>5</v>
      </c>
      <c r="L868" s="5">
        <v>4</v>
      </c>
      <c r="M868" s="2" t="s">
        <v>191</v>
      </c>
      <c r="N868" s="5">
        <v>28.9</v>
      </c>
      <c r="O868" s="5">
        <v>17.5</v>
      </c>
      <c r="P868" s="5">
        <v>5.5</v>
      </c>
      <c r="Q868" s="2" t="s">
        <v>18</v>
      </c>
      <c r="R868" s="5">
        <v>22</v>
      </c>
      <c r="S868" s="5">
        <v>4.2699999999999996</v>
      </c>
      <c r="T868" s="9">
        <f>MEDIAN(2,3)</f>
        <v>2.5</v>
      </c>
      <c r="U868" s="2" t="str">
        <f>IF(T868&lt;=1, "1",IF(AND(T868&gt;1,T868&lt;4), "2-3", "+4"))</f>
        <v>2-3</v>
      </c>
      <c r="V868" s="5">
        <f>S868*T868</f>
        <v>10.674999999999999</v>
      </c>
      <c r="W868" s="6" t="s">
        <v>2393</v>
      </c>
    </row>
    <row r="869" spans="1:23" x14ac:dyDescent="0.15">
      <c r="A869" s="2" t="s">
        <v>97</v>
      </c>
      <c r="B869" s="2" t="s">
        <v>3933</v>
      </c>
      <c r="C869" s="2" t="s">
        <v>996</v>
      </c>
      <c r="D869" s="2" t="s">
        <v>378</v>
      </c>
      <c r="E869" s="1"/>
      <c r="F869" s="2" t="s">
        <v>379</v>
      </c>
      <c r="H869" s="2" t="s">
        <v>3887</v>
      </c>
      <c r="I869" s="5">
        <v>14.97</v>
      </c>
      <c r="J869" s="5">
        <f xml:space="preserve"> 0.0001619*(I869*10)^3.0434</f>
        <v>675.02036571292388</v>
      </c>
      <c r="K869" s="5"/>
      <c r="L869" s="5"/>
      <c r="M869" s="2" t="s">
        <v>191</v>
      </c>
      <c r="N869" s="5"/>
      <c r="O869" s="5"/>
      <c r="P869" s="5"/>
      <c r="R869" s="5"/>
      <c r="S869" s="5"/>
      <c r="V869" s="5"/>
      <c r="W869" s="6" t="s">
        <v>2395</v>
      </c>
    </row>
    <row r="870" spans="1:23" x14ac:dyDescent="0.15">
      <c r="A870" s="2" t="s">
        <v>97</v>
      </c>
      <c r="B870" s="2" t="s">
        <v>3933</v>
      </c>
      <c r="C870" s="2" t="s">
        <v>996</v>
      </c>
      <c r="D870" s="2" t="s">
        <v>716</v>
      </c>
      <c r="E870" s="1" t="s">
        <v>992</v>
      </c>
      <c r="F870" s="2" t="s">
        <v>3915</v>
      </c>
      <c r="G870" s="2">
        <v>22</v>
      </c>
      <c r="H870" s="2" t="str">
        <f t="shared" si="33"/>
        <v>W</v>
      </c>
      <c r="I870" s="5">
        <v>13.4</v>
      </c>
      <c r="J870" s="5">
        <f xml:space="preserve"> 0.0001619*(I870*10)^3.0434</f>
        <v>481.81197755674646</v>
      </c>
      <c r="K870" s="5"/>
      <c r="L870" s="5">
        <v>2.7</v>
      </c>
      <c r="M870" s="2" t="s">
        <v>191</v>
      </c>
      <c r="N870" s="5">
        <v>47</v>
      </c>
      <c r="O870" s="5">
        <v>27</v>
      </c>
      <c r="P870" s="5">
        <v>18.46</v>
      </c>
      <c r="Q870" s="2" t="s">
        <v>18</v>
      </c>
      <c r="R870" s="5">
        <v>49.9</v>
      </c>
      <c r="S870" s="5">
        <f>(R870/J870)*100</f>
        <v>10.356737134896759</v>
      </c>
      <c r="V870" s="5"/>
      <c r="W870" s="6" t="s">
        <v>1977</v>
      </c>
    </row>
    <row r="871" spans="1:23" x14ac:dyDescent="0.15">
      <c r="A871" s="2" t="s">
        <v>97</v>
      </c>
      <c r="B871" s="2" t="s">
        <v>3933</v>
      </c>
      <c r="C871" s="2" t="s">
        <v>996</v>
      </c>
      <c r="D871" s="2" t="s">
        <v>717</v>
      </c>
      <c r="E871" s="1"/>
      <c r="F871" s="2" t="s">
        <v>374</v>
      </c>
      <c r="G871" s="2" t="s">
        <v>374</v>
      </c>
      <c r="H871" s="2" t="str">
        <f t="shared" si="33"/>
        <v>C</v>
      </c>
      <c r="I871" s="5">
        <v>11.35</v>
      </c>
      <c r="J871" s="5">
        <v>387.5</v>
      </c>
      <c r="K871" s="5"/>
      <c r="L871" s="5">
        <v>3.89</v>
      </c>
      <c r="M871" s="2" t="s">
        <v>191</v>
      </c>
      <c r="N871" s="5"/>
      <c r="O871" s="5"/>
      <c r="P871" s="5"/>
      <c r="R871" s="5"/>
      <c r="S871" s="5"/>
      <c r="T871" s="2" t="s">
        <v>410</v>
      </c>
      <c r="U871" s="40" t="s">
        <v>395</v>
      </c>
      <c r="V871" s="5"/>
      <c r="W871" s="6" t="s">
        <v>2521</v>
      </c>
    </row>
    <row r="872" spans="1:23" x14ac:dyDescent="0.15">
      <c r="A872" s="2" t="s">
        <v>97</v>
      </c>
      <c r="B872" s="2" t="s">
        <v>3933</v>
      </c>
      <c r="C872" s="2" t="s">
        <v>996</v>
      </c>
      <c r="D872" s="2" t="s">
        <v>717</v>
      </c>
      <c r="E872" s="1"/>
      <c r="F872" s="2" t="s">
        <v>229</v>
      </c>
      <c r="G872" s="2">
        <v>30.3</v>
      </c>
      <c r="H872" s="2" t="str">
        <f t="shared" si="33"/>
        <v>W</v>
      </c>
      <c r="I872" s="5"/>
      <c r="J872" s="5"/>
      <c r="K872" s="5">
        <v>8</v>
      </c>
      <c r="L872" s="5"/>
      <c r="M872" s="2" t="s">
        <v>191</v>
      </c>
      <c r="N872" s="5"/>
      <c r="O872" s="5"/>
      <c r="P872" s="5"/>
      <c r="R872" s="5"/>
      <c r="S872" s="5"/>
      <c r="V872" s="5"/>
      <c r="W872" s="6" t="s">
        <v>3352</v>
      </c>
    </row>
    <row r="873" spans="1:23" x14ac:dyDescent="0.15">
      <c r="A873" s="2" t="s">
        <v>97</v>
      </c>
      <c r="B873" s="2" t="s">
        <v>3933</v>
      </c>
      <c r="C873" s="2" t="s">
        <v>996</v>
      </c>
      <c r="D873" s="2" t="s">
        <v>717</v>
      </c>
      <c r="E873" s="1"/>
      <c r="F873" s="4" t="s">
        <v>5440</v>
      </c>
      <c r="G873" s="4">
        <v>41</v>
      </c>
      <c r="H873" s="2" t="str">
        <f t="shared" si="33"/>
        <v>W</v>
      </c>
      <c r="I873" s="5">
        <v>11.052</v>
      </c>
      <c r="J873" s="5">
        <v>351.87</v>
      </c>
      <c r="K873" s="33"/>
      <c r="L873" s="33">
        <v>2.6</v>
      </c>
      <c r="M873" s="4" t="s">
        <v>191</v>
      </c>
      <c r="N873" s="33"/>
      <c r="O873" s="33"/>
      <c r="P873" s="33"/>
      <c r="Q873" s="4"/>
      <c r="R873" s="33"/>
      <c r="S873" s="33"/>
      <c r="T873" s="4"/>
      <c r="U873" s="4"/>
      <c r="V873" s="33"/>
      <c r="W873" s="10" t="s">
        <v>1978</v>
      </c>
    </row>
    <row r="874" spans="1:23" x14ac:dyDescent="0.15">
      <c r="A874" s="2" t="s">
        <v>97</v>
      </c>
      <c r="B874" s="2" t="s">
        <v>3933</v>
      </c>
      <c r="C874" s="2" t="s">
        <v>996</v>
      </c>
      <c r="D874" s="2" t="s">
        <v>717</v>
      </c>
      <c r="E874" s="1"/>
      <c r="F874" s="2" t="s">
        <v>158</v>
      </c>
      <c r="G874" s="2">
        <v>43.22</v>
      </c>
      <c r="H874" s="2" t="str">
        <f t="shared" si="33"/>
        <v>W</v>
      </c>
      <c r="I874" s="5"/>
      <c r="J874" s="5"/>
      <c r="K874" s="5"/>
      <c r="L874" s="5">
        <v>3.45</v>
      </c>
      <c r="M874" s="2" t="s">
        <v>191</v>
      </c>
      <c r="N874" s="5"/>
      <c r="O874" s="5"/>
      <c r="P874" s="5"/>
      <c r="R874" s="5"/>
      <c r="S874" s="5"/>
      <c r="V874" s="5"/>
      <c r="W874" s="6" t="s">
        <v>2396</v>
      </c>
    </row>
    <row r="875" spans="1:23" x14ac:dyDescent="0.15">
      <c r="A875" s="2" t="s">
        <v>97</v>
      </c>
      <c r="B875" s="2" t="s">
        <v>3933</v>
      </c>
      <c r="C875" s="2" t="s">
        <v>996</v>
      </c>
      <c r="D875" s="2" t="s">
        <v>717</v>
      </c>
      <c r="E875" s="1"/>
      <c r="F875" s="2" t="s">
        <v>177</v>
      </c>
      <c r="G875" s="2">
        <v>42.1</v>
      </c>
      <c r="H875" s="2" t="str">
        <f t="shared" si="33"/>
        <v>W</v>
      </c>
      <c r="I875" s="5">
        <v>10.35</v>
      </c>
      <c r="J875" s="5">
        <f xml:space="preserve"> 0.2756*I875^2.954</f>
        <v>274.41826015300904</v>
      </c>
      <c r="K875" s="5"/>
      <c r="L875" s="5">
        <v>2.64</v>
      </c>
      <c r="M875" s="2" t="s">
        <v>191</v>
      </c>
      <c r="N875" s="5"/>
      <c r="O875" s="5"/>
      <c r="P875" s="5"/>
      <c r="R875" s="5"/>
      <c r="S875" s="5"/>
      <c r="V875" s="5"/>
      <c r="W875" s="6" t="s">
        <v>3432</v>
      </c>
    </row>
    <row r="876" spans="1:23" x14ac:dyDescent="0.15">
      <c r="A876" s="2" t="s">
        <v>97</v>
      </c>
      <c r="B876" s="2" t="s">
        <v>3933</v>
      </c>
      <c r="C876" s="2" t="s">
        <v>996</v>
      </c>
      <c r="D876" s="2" t="s">
        <v>717</v>
      </c>
      <c r="E876" s="1"/>
      <c r="F876" s="2" t="s">
        <v>177</v>
      </c>
      <c r="G876" s="2">
        <v>41.9</v>
      </c>
      <c r="H876" s="2" t="str">
        <f t="shared" si="33"/>
        <v>W</v>
      </c>
      <c r="I876" s="5">
        <v>11.65</v>
      </c>
      <c r="J876" s="5">
        <f xml:space="preserve"> 0.2756*I876^2.954</f>
        <v>389.22972262644072</v>
      </c>
      <c r="K876" s="5"/>
      <c r="L876" s="5">
        <v>4.55</v>
      </c>
      <c r="M876" s="2" t="s">
        <v>191</v>
      </c>
      <c r="N876" s="5"/>
      <c r="O876" s="5"/>
      <c r="P876" s="5"/>
      <c r="R876" s="5"/>
      <c r="S876" s="5"/>
      <c r="V876" s="5"/>
      <c r="W876" s="6" t="s">
        <v>3432</v>
      </c>
    </row>
    <row r="877" spans="1:23" x14ac:dyDescent="0.15">
      <c r="A877" s="4" t="s">
        <v>97</v>
      </c>
      <c r="B877" s="2" t="s">
        <v>3933</v>
      </c>
      <c r="C877" s="4" t="s">
        <v>996</v>
      </c>
      <c r="D877" s="2" t="s">
        <v>717</v>
      </c>
      <c r="E877" s="1"/>
      <c r="F877" s="4" t="s">
        <v>189</v>
      </c>
      <c r="G877" s="4">
        <v>34.380000000000003</v>
      </c>
      <c r="H877" s="2" t="str">
        <f t="shared" si="33"/>
        <v>W</v>
      </c>
      <c r="I877" s="5">
        <v>11.85</v>
      </c>
      <c r="J877" s="5">
        <f>0.2756*I877^2.954</f>
        <v>409.30139059653271</v>
      </c>
      <c r="K877" s="33"/>
      <c r="L877" s="33">
        <v>2.99</v>
      </c>
      <c r="M877" s="4" t="s">
        <v>191</v>
      </c>
      <c r="N877" s="33"/>
      <c r="O877" s="33"/>
      <c r="P877" s="33"/>
      <c r="Q877" s="4"/>
      <c r="R877" s="33"/>
      <c r="S877" s="33"/>
      <c r="T877" s="4"/>
      <c r="U877" s="4"/>
      <c r="V877" s="33"/>
      <c r="W877" s="10" t="s">
        <v>1821</v>
      </c>
    </row>
    <row r="878" spans="1:23" x14ac:dyDescent="0.15">
      <c r="A878" s="2" t="s">
        <v>97</v>
      </c>
      <c r="B878" s="2" t="s">
        <v>3933</v>
      </c>
      <c r="C878" s="2" t="s">
        <v>996</v>
      </c>
      <c r="D878" s="2" t="s">
        <v>717</v>
      </c>
      <c r="E878" s="1"/>
      <c r="F878" s="2" t="s">
        <v>612</v>
      </c>
      <c r="G878" s="2">
        <v>41.76</v>
      </c>
      <c r="H878" s="2" t="str">
        <f t="shared" si="33"/>
        <v>W</v>
      </c>
      <c r="I878" s="5">
        <v>10.76</v>
      </c>
      <c r="J878" s="5">
        <v>341.1</v>
      </c>
      <c r="K878" s="5">
        <v>14</v>
      </c>
      <c r="L878" s="5">
        <v>3.55</v>
      </c>
      <c r="M878" s="2" t="s">
        <v>191</v>
      </c>
      <c r="N878" s="5">
        <v>37.56</v>
      </c>
      <c r="O878" s="5">
        <v>23.03</v>
      </c>
      <c r="P878" s="5">
        <v>11.95</v>
      </c>
      <c r="Q878" s="2" t="s">
        <v>18</v>
      </c>
      <c r="R878" s="5">
        <v>44.35</v>
      </c>
      <c r="S878" s="5">
        <v>11.3</v>
      </c>
      <c r="T878" s="9">
        <v>1.07</v>
      </c>
      <c r="U878" s="2">
        <v>1</v>
      </c>
      <c r="V878" s="5">
        <v>12.09</v>
      </c>
      <c r="W878" s="6" t="s">
        <v>5441</v>
      </c>
    </row>
    <row r="879" spans="1:23" x14ac:dyDescent="0.15">
      <c r="A879" s="2" t="s">
        <v>97</v>
      </c>
      <c r="B879" s="2" t="s">
        <v>3933</v>
      </c>
      <c r="C879" s="2" t="s">
        <v>996</v>
      </c>
      <c r="D879" s="2" t="s">
        <v>717</v>
      </c>
      <c r="E879" s="1"/>
      <c r="F879" s="2" t="s">
        <v>374</v>
      </c>
      <c r="G879" s="2" t="s">
        <v>374</v>
      </c>
      <c r="H879" s="2" t="str">
        <f t="shared" si="33"/>
        <v>C</v>
      </c>
      <c r="I879" s="5"/>
      <c r="J879" s="5"/>
      <c r="K879" s="5"/>
      <c r="L879" s="5">
        <v>2.4</v>
      </c>
      <c r="M879" s="2" t="s">
        <v>191</v>
      </c>
      <c r="N879" s="5"/>
      <c r="O879" s="5"/>
      <c r="P879" s="5"/>
      <c r="R879" s="5"/>
      <c r="S879" s="5"/>
      <c r="T879" s="2">
        <v>2</v>
      </c>
      <c r="U879" s="2" t="str">
        <f>IF(T879&lt;=1, "1",IF(AND(T879&gt;1,T879&lt;4), "2-3", "+4"))</f>
        <v>2-3</v>
      </c>
      <c r="V879" s="5"/>
      <c r="W879" s="6" t="s">
        <v>2392</v>
      </c>
    </row>
    <row r="880" spans="1:23" x14ac:dyDescent="0.15">
      <c r="A880" s="4" t="s">
        <v>97</v>
      </c>
      <c r="B880" s="2" t="s">
        <v>3933</v>
      </c>
      <c r="C880" s="4" t="s">
        <v>996</v>
      </c>
      <c r="D880" s="4" t="s">
        <v>717</v>
      </c>
      <c r="E880" s="1"/>
      <c r="F880" s="4" t="s">
        <v>187</v>
      </c>
      <c r="G880" s="4">
        <v>38.979999999999997</v>
      </c>
      <c r="H880" s="2" t="str">
        <f t="shared" si="33"/>
        <v>W</v>
      </c>
      <c r="I880" s="5">
        <f>EXP((LN(J880/0.2756))/2.954)</f>
        <v>11.47280225095696</v>
      </c>
      <c r="J880" s="5">
        <v>372</v>
      </c>
      <c r="K880" s="33">
        <v>10.5</v>
      </c>
      <c r="L880" s="33">
        <v>4.7</v>
      </c>
      <c r="M880" s="4" t="s">
        <v>191</v>
      </c>
      <c r="N880" s="33">
        <v>36.06</v>
      </c>
      <c r="O880" s="5">
        <v>21.72</v>
      </c>
      <c r="P880" s="5">
        <v>10.09</v>
      </c>
      <c r="Q880" s="2" t="s">
        <v>18</v>
      </c>
      <c r="R880" s="5">
        <v>47.4</v>
      </c>
      <c r="S880" s="5">
        <v>12.74</v>
      </c>
      <c r="T880" s="2">
        <v>1.3</v>
      </c>
      <c r="U880" s="2" t="str">
        <f>IF(T880&lt;=1, "1",IF(AND(T880&gt;1,T880&lt;4), "2-3", "+4"))</f>
        <v>2-3</v>
      </c>
      <c r="V880" s="5">
        <f>S880*T880</f>
        <v>16.562000000000001</v>
      </c>
      <c r="W880" s="10" t="s">
        <v>1819</v>
      </c>
    </row>
    <row r="881" spans="1:23" x14ac:dyDescent="0.15">
      <c r="A881" s="4" t="s">
        <v>97</v>
      </c>
      <c r="B881" s="2" t="s">
        <v>3933</v>
      </c>
      <c r="C881" s="4" t="s">
        <v>996</v>
      </c>
      <c r="D881" s="2" t="s">
        <v>717</v>
      </c>
      <c r="E881" s="1"/>
      <c r="F881" s="2" t="s">
        <v>190</v>
      </c>
      <c r="G881" s="2">
        <v>34.4</v>
      </c>
      <c r="H881" s="2" t="str">
        <f t="shared" si="33"/>
        <v>W</v>
      </c>
      <c r="I881" s="5">
        <v>11.85</v>
      </c>
      <c r="J881" s="5">
        <v>430.3</v>
      </c>
      <c r="K881" s="5"/>
      <c r="L881" s="5">
        <v>2.7</v>
      </c>
      <c r="M881" s="2" t="s">
        <v>191</v>
      </c>
      <c r="N881" s="5"/>
      <c r="O881" s="5">
        <v>26.6</v>
      </c>
      <c r="P881" s="5">
        <f>(1.215*O881)-16.042</f>
        <v>16.277000000000001</v>
      </c>
      <c r="Q881" s="2" t="s">
        <v>376</v>
      </c>
      <c r="R881" s="5">
        <f>P881*L881</f>
        <v>43.947900000000004</v>
      </c>
      <c r="S881" s="5">
        <f>(R881/J881)*100</f>
        <v>10.213316290959797</v>
      </c>
      <c r="V881" s="5"/>
      <c r="W881" s="6" t="s">
        <v>1822</v>
      </c>
    </row>
    <row r="882" spans="1:23" x14ac:dyDescent="0.15">
      <c r="A882" s="4" t="s">
        <v>97</v>
      </c>
      <c r="B882" s="2" t="s">
        <v>3933</v>
      </c>
      <c r="C882" s="4" t="s">
        <v>996</v>
      </c>
      <c r="D882" s="4" t="s">
        <v>717</v>
      </c>
      <c r="E882" s="1"/>
      <c r="F882" s="4" t="s">
        <v>188</v>
      </c>
      <c r="G882" s="4">
        <v>43.35</v>
      </c>
      <c r="H882" s="2" t="str">
        <f t="shared" si="33"/>
        <v>W</v>
      </c>
      <c r="I882" s="5">
        <v>11.620000000000001</v>
      </c>
      <c r="J882" s="5">
        <v>379.4</v>
      </c>
      <c r="K882" s="33">
        <v>9</v>
      </c>
      <c r="L882" s="33">
        <v>4.3</v>
      </c>
      <c r="M882" s="4" t="s">
        <v>191</v>
      </c>
      <c r="N882" s="33"/>
      <c r="O882" s="5">
        <f>(P882+16.042)/1.215</f>
        <v>23.079835390946503</v>
      </c>
      <c r="P882" s="5">
        <v>12</v>
      </c>
      <c r="Q882" s="2" t="s">
        <v>18</v>
      </c>
      <c r="R882" s="5">
        <v>51.6</v>
      </c>
      <c r="S882" s="5">
        <v>13.6</v>
      </c>
      <c r="T882" s="2">
        <v>1.3</v>
      </c>
      <c r="U882" s="2" t="str">
        <f>IF(T882&lt;=1, "1",IF(AND(T882&gt;1,T882&lt;4), "2-3", "+4"))</f>
        <v>2-3</v>
      </c>
      <c r="V882" s="5">
        <f>S882*T882</f>
        <v>17.68</v>
      </c>
      <c r="W882" s="10" t="s">
        <v>1820</v>
      </c>
    </row>
    <row r="883" spans="1:23" x14ac:dyDescent="0.15">
      <c r="A883" s="2" t="s">
        <v>97</v>
      </c>
      <c r="B883" s="2" t="s">
        <v>3933</v>
      </c>
      <c r="C883" s="2" t="s">
        <v>996</v>
      </c>
      <c r="D883" s="2" t="s">
        <v>717</v>
      </c>
      <c r="E883" s="1"/>
      <c r="F883" s="2" t="s">
        <v>1012</v>
      </c>
      <c r="G883" s="2">
        <v>35.5</v>
      </c>
      <c r="H883" s="2" t="str">
        <f t="shared" si="33"/>
        <v>W</v>
      </c>
      <c r="I883" s="5">
        <v>10.62</v>
      </c>
      <c r="J883" s="5">
        <v>312.85000000000002</v>
      </c>
      <c r="K883" s="5"/>
      <c r="L883" s="5">
        <v>4</v>
      </c>
      <c r="M883" s="2" t="s">
        <v>191</v>
      </c>
      <c r="N883" s="5">
        <v>37.159999999999997</v>
      </c>
      <c r="O883" s="5">
        <v>21.78</v>
      </c>
      <c r="P883" s="5">
        <v>10.51</v>
      </c>
      <c r="Q883" s="2" t="s">
        <v>18</v>
      </c>
      <c r="R883" s="5">
        <v>42.5</v>
      </c>
      <c r="S883" s="5">
        <v>13.58</v>
      </c>
      <c r="V883" s="5"/>
      <c r="W883" s="6" t="s">
        <v>2270</v>
      </c>
    </row>
    <row r="884" spans="1:23" x14ac:dyDescent="0.15">
      <c r="A884" s="2" t="s">
        <v>97</v>
      </c>
      <c r="B884" s="2" t="s">
        <v>3933</v>
      </c>
      <c r="C884" s="2" t="s">
        <v>996</v>
      </c>
      <c r="D884" s="2" t="s">
        <v>717</v>
      </c>
      <c r="E884" s="1"/>
      <c r="F884" s="2" t="s">
        <v>1012</v>
      </c>
      <c r="G884" s="2">
        <v>35.5</v>
      </c>
      <c r="H884" s="2" t="str">
        <f t="shared" si="33"/>
        <v>W</v>
      </c>
      <c r="I884" s="5">
        <v>13.53</v>
      </c>
      <c r="J884" s="5">
        <f>0.2756*I884^2.954</f>
        <v>605.52615172942376</v>
      </c>
      <c r="K884" s="5">
        <v>8</v>
      </c>
      <c r="L884" s="5"/>
      <c r="M884" s="2" t="s">
        <v>191</v>
      </c>
      <c r="N884" s="5"/>
      <c r="O884" s="5"/>
      <c r="P884" s="5"/>
      <c r="R884" s="5"/>
      <c r="S884" s="5"/>
      <c r="V884" s="5"/>
      <c r="W884" s="6" t="s">
        <v>2397</v>
      </c>
    </row>
    <row r="885" spans="1:23" x14ac:dyDescent="0.15">
      <c r="A885" s="2" t="s">
        <v>97</v>
      </c>
      <c r="B885" s="2" t="s">
        <v>3933</v>
      </c>
      <c r="C885" s="2" t="s">
        <v>996</v>
      </c>
      <c r="D885" s="2" t="s">
        <v>717</v>
      </c>
      <c r="E885" s="1"/>
      <c r="F885" s="2" t="s">
        <v>1012</v>
      </c>
      <c r="G885" s="2">
        <v>35.5</v>
      </c>
      <c r="H885" s="2" t="str">
        <f t="shared" si="33"/>
        <v>W</v>
      </c>
      <c r="I885" s="5"/>
      <c r="J885" s="5"/>
      <c r="K885" s="5">
        <v>8</v>
      </c>
      <c r="L885" s="5"/>
      <c r="M885" s="2" t="s">
        <v>191</v>
      </c>
      <c r="N885" s="5"/>
      <c r="O885" s="5"/>
      <c r="P885" s="5"/>
      <c r="R885" s="5"/>
      <c r="S885" s="5"/>
      <c r="V885" s="5"/>
      <c r="W885" s="6" t="s">
        <v>2397</v>
      </c>
    </row>
    <row r="886" spans="1:23" x14ac:dyDescent="0.15">
      <c r="A886" s="2" t="s">
        <v>97</v>
      </c>
      <c r="B886" s="2" t="s">
        <v>3933</v>
      </c>
      <c r="C886" s="2" t="s">
        <v>996</v>
      </c>
      <c r="D886" s="2" t="s">
        <v>717</v>
      </c>
      <c r="E886" s="1"/>
      <c r="F886" s="2" t="s">
        <v>248</v>
      </c>
      <c r="G886" s="2">
        <v>31.7</v>
      </c>
      <c r="H886" s="2" t="str">
        <f t="shared" si="33"/>
        <v>W</v>
      </c>
      <c r="I886" s="5">
        <v>12.6</v>
      </c>
      <c r="J886" s="5">
        <f>0.2756*I886^2.954</f>
        <v>490.65225990727055</v>
      </c>
      <c r="K886" s="5"/>
      <c r="L886" s="5">
        <v>3.06</v>
      </c>
      <c r="M886" s="2" t="s">
        <v>191</v>
      </c>
      <c r="N886" s="5"/>
      <c r="O886" s="5">
        <v>26.9</v>
      </c>
      <c r="P886" s="5">
        <f>(1.215*O886)-16.042</f>
        <v>16.641500000000001</v>
      </c>
      <c r="Q886" s="2" t="s">
        <v>376</v>
      </c>
      <c r="R886" s="5">
        <f>P886*L886</f>
        <v>50.922990000000006</v>
      </c>
      <c r="S886" s="5">
        <f>(R886/J886)*100</f>
        <v>10.378631499552055</v>
      </c>
      <c r="T886" s="2">
        <v>1</v>
      </c>
      <c r="U886" s="2" t="str">
        <f>IF(T886&lt;=1, "1",IF(AND(T886&gt;1,T886&lt;4), "2-3", "+4"))</f>
        <v>1</v>
      </c>
      <c r="V886" s="5">
        <f>S886*T886</f>
        <v>10.378631499552055</v>
      </c>
      <c r="W886" s="6" t="s">
        <v>2398</v>
      </c>
    </row>
    <row r="887" spans="1:23" x14ac:dyDescent="0.15">
      <c r="A887" s="2" t="s">
        <v>97</v>
      </c>
      <c r="B887" s="2" t="s">
        <v>3933</v>
      </c>
      <c r="C887" s="2" t="s">
        <v>996</v>
      </c>
      <c r="D887" s="2" t="s">
        <v>3576</v>
      </c>
      <c r="E887" s="1"/>
      <c r="F887" s="2" t="s">
        <v>229</v>
      </c>
      <c r="G887" s="2">
        <v>30.68</v>
      </c>
      <c r="H887" s="2" t="str">
        <f t="shared" si="33"/>
        <v>W</v>
      </c>
      <c r="I887" s="5">
        <v>12.8</v>
      </c>
      <c r="J887" s="5">
        <v>448.7</v>
      </c>
      <c r="K887" s="5"/>
      <c r="L887" s="5">
        <v>2.9</v>
      </c>
      <c r="M887" s="2" t="s">
        <v>191</v>
      </c>
      <c r="N887" s="5"/>
      <c r="O887" s="5"/>
      <c r="P887" s="5"/>
      <c r="R887" s="5"/>
      <c r="S887" s="5"/>
      <c r="V887" s="5"/>
      <c r="W887" s="6" t="s">
        <v>3431</v>
      </c>
    </row>
    <row r="888" spans="1:23" x14ac:dyDescent="0.15">
      <c r="A888" s="1" t="s">
        <v>97</v>
      </c>
      <c r="B888" s="2" t="s">
        <v>3933</v>
      </c>
      <c r="C888" s="2" t="s">
        <v>996</v>
      </c>
      <c r="D888" s="1" t="s">
        <v>3576</v>
      </c>
      <c r="E888" s="1"/>
      <c r="F888" s="1" t="s">
        <v>374</v>
      </c>
      <c r="G888" s="1" t="s">
        <v>374</v>
      </c>
      <c r="H888" s="2" t="str">
        <f t="shared" si="33"/>
        <v>C</v>
      </c>
      <c r="I888" s="8">
        <v>12.41</v>
      </c>
      <c r="J888" s="8">
        <v>454</v>
      </c>
      <c r="K888" s="8"/>
      <c r="L888" s="8">
        <v>4.0999999999999996</v>
      </c>
      <c r="M888" s="2" t="s">
        <v>191</v>
      </c>
      <c r="N888" s="8">
        <v>34.5</v>
      </c>
      <c r="O888" s="8">
        <v>20.399999999999999</v>
      </c>
      <c r="P888" s="8">
        <v>7.7</v>
      </c>
      <c r="Q888" s="1" t="s">
        <v>18</v>
      </c>
      <c r="R888" s="8">
        <v>31.57</v>
      </c>
      <c r="S888" s="8">
        <v>6.95</v>
      </c>
      <c r="T888" s="1"/>
      <c r="U888" s="1"/>
      <c r="V888" s="8"/>
      <c r="W888" s="6" t="s">
        <v>3586</v>
      </c>
    </row>
    <row r="889" spans="1:23" x14ac:dyDescent="0.15">
      <c r="A889" s="2" t="s">
        <v>97</v>
      </c>
      <c r="B889" s="2" t="s">
        <v>3933</v>
      </c>
      <c r="C889" s="2" t="s">
        <v>996</v>
      </c>
      <c r="D889" s="2" t="s">
        <v>3576</v>
      </c>
      <c r="E889" s="1"/>
      <c r="F889" s="2" t="s">
        <v>374</v>
      </c>
      <c r="G889" s="2" t="s">
        <v>374</v>
      </c>
      <c r="H889" s="2" t="str">
        <f t="shared" si="33"/>
        <v>C</v>
      </c>
      <c r="I889" s="5"/>
      <c r="J889" s="5"/>
      <c r="K889" s="5"/>
      <c r="L889" s="5">
        <v>5</v>
      </c>
      <c r="M889" s="2" t="s">
        <v>191</v>
      </c>
      <c r="N889" s="5"/>
      <c r="O889" s="5"/>
      <c r="P889" s="5"/>
      <c r="R889" s="5"/>
      <c r="S889" s="5"/>
      <c r="T889" s="2">
        <v>3</v>
      </c>
      <c r="U889" s="2" t="str">
        <f>IF(T889&lt;=1, "1",IF(AND(T889&gt;1,T889&lt;4), "2-3", "+4"))</f>
        <v>2-3</v>
      </c>
      <c r="V889" s="5"/>
      <c r="W889" s="6" t="s">
        <v>3241</v>
      </c>
    </row>
    <row r="890" spans="1:23" x14ac:dyDescent="0.15">
      <c r="A890" s="2" t="s">
        <v>97</v>
      </c>
      <c r="B890" s="2" t="s">
        <v>3933</v>
      </c>
      <c r="C890" s="2" t="s">
        <v>996</v>
      </c>
      <c r="D890" s="2" t="s">
        <v>3576</v>
      </c>
      <c r="E890" s="1"/>
      <c r="F890" s="2" t="s">
        <v>374</v>
      </c>
      <c r="G890" s="2" t="s">
        <v>374</v>
      </c>
      <c r="H890" s="2" t="str">
        <f t="shared" si="33"/>
        <v>C</v>
      </c>
      <c r="I890" s="5"/>
      <c r="J890" s="5"/>
      <c r="K890" s="5"/>
      <c r="L890" s="7">
        <f>MEDIAN(1,7)</f>
        <v>4</v>
      </c>
      <c r="M890" s="2" t="s">
        <v>191</v>
      </c>
      <c r="N890" s="5">
        <v>33</v>
      </c>
      <c r="O890" s="5"/>
      <c r="P890" s="5"/>
      <c r="Q890" s="2" t="s">
        <v>376</v>
      </c>
      <c r="R890" s="5"/>
      <c r="S890" s="5"/>
      <c r="V890" s="5"/>
      <c r="W890" s="6" t="s">
        <v>2392</v>
      </c>
    </row>
    <row r="891" spans="1:23" x14ac:dyDescent="0.15">
      <c r="A891" s="2" t="s">
        <v>97</v>
      </c>
      <c r="B891" s="2" t="s">
        <v>3933</v>
      </c>
      <c r="C891" s="2" t="s">
        <v>996</v>
      </c>
      <c r="D891" s="2" t="s">
        <v>3576</v>
      </c>
      <c r="E891" s="1"/>
      <c r="F891" s="2" t="s">
        <v>330</v>
      </c>
      <c r="G891" s="2">
        <v>32.78</v>
      </c>
      <c r="H891" s="2" t="str">
        <f t="shared" si="33"/>
        <v>W</v>
      </c>
      <c r="I891" s="5">
        <f>EXP((LN(J891/0.0001619))/3.0434)/10</f>
        <v>13.159747307860872</v>
      </c>
      <c r="J891" s="5">
        <v>456</v>
      </c>
      <c r="K891" s="5"/>
      <c r="L891" s="5">
        <v>3.4</v>
      </c>
      <c r="M891" s="2" t="s">
        <v>191</v>
      </c>
      <c r="N891" s="5">
        <v>34.14</v>
      </c>
      <c r="O891" s="5">
        <v>20.56</v>
      </c>
      <c r="P891" s="5">
        <v>9.64</v>
      </c>
      <c r="Q891" s="2" t="s">
        <v>18</v>
      </c>
      <c r="R891" s="5">
        <v>32.78</v>
      </c>
      <c r="S891" s="5">
        <v>7.19</v>
      </c>
      <c r="T891" s="2">
        <v>3.31</v>
      </c>
      <c r="U891" s="2" t="str">
        <f>IF(T891&lt;=1, "1",IF(AND(T891&gt;1,T891&lt;4), "2-3", "+4"))</f>
        <v>2-3</v>
      </c>
      <c r="V891" s="5">
        <f>S891*T891</f>
        <v>23.798900000000003</v>
      </c>
      <c r="W891" s="6" t="s">
        <v>3220</v>
      </c>
    </row>
    <row r="892" spans="1:23" x14ac:dyDescent="0.15">
      <c r="A892" s="2" t="s">
        <v>97</v>
      </c>
      <c r="B892" s="2" t="s">
        <v>3933</v>
      </c>
      <c r="C892" s="2" t="s">
        <v>996</v>
      </c>
      <c r="D892" s="2" t="s">
        <v>3576</v>
      </c>
      <c r="E892" s="1"/>
      <c r="F892" s="2" t="s">
        <v>1012</v>
      </c>
      <c r="G892" s="2">
        <v>35.5</v>
      </c>
      <c r="H892" s="2" t="str">
        <f t="shared" ref="H892:H923" si="34">IF(G892="captive","C","W")</f>
        <v>W</v>
      </c>
      <c r="I892" s="5">
        <f>(EXP(LN(J892/0.0001619)/3.0434)/10)</f>
        <v>13.31832577263549</v>
      </c>
      <c r="J892" s="5">
        <v>472.93</v>
      </c>
      <c r="K892" s="5"/>
      <c r="L892" s="5">
        <v>4</v>
      </c>
      <c r="M892" s="2" t="s">
        <v>191</v>
      </c>
      <c r="N892" s="5">
        <v>35.01</v>
      </c>
      <c r="O892" s="5">
        <v>21.41</v>
      </c>
      <c r="P892" s="5">
        <v>9.3800000000000008</v>
      </c>
      <c r="Q892" s="2" t="s">
        <v>18</v>
      </c>
      <c r="R892" s="5">
        <v>35.43</v>
      </c>
      <c r="S892" s="5">
        <v>7.49</v>
      </c>
      <c r="V892" s="5"/>
      <c r="W892" s="6" t="s">
        <v>2270</v>
      </c>
    </row>
    <row r="893" spans="1:23" x14ac:dyDescent="0.15">
      <c r="A893" s="2" t="s">
        <v>97</v>
      </c>
      <c r="B893" s="2" t="s">
        <v>3933</v>
      </c>
      <c r="C893" s="2" t="s">
        <v>996</v>
      </c>
      <c r="D893" s="2" t="s">
        <v>3576</v>
      </c>
      <c r="E893" s="1"/>
      <c r="F893" s="2" t="s">
        <v>1012</v>
      </c>
      <c r="G893" s="2">
        <v>35.5</v>
      </c>
      <c r="H893" s="2" t="str">
        <f t="shared" si="34"/>
        <v>W</v>
      </c>
      <c r="I893" s="5">
        <v>16.190000000000001</v>
      </c>
      <c r="J893" s="5">
        <f>0.0001619*((I893*10)^3.0434)</f>
        <v>856.77879291183308</v>
      </c>
      <c r="K893" s="5">
        <v>8</v>
      </c>
      <c r="L893" s="5"/>
      <c r="M893" s="2" t="s">
        <v>191</v>
      </c>
      <c r="N893" s="5"/>
      <c r="O893" s="5"/>
      <c r="P893" s="5"/>
      <c r="R893" s="5"/>
      <c r="S893" s="5"/>
      <c r="V893" s="5"/>
      <c r="W893" s="6" t="s">
        <v>2397</v>
      </c>
    </row>
    <row r="894" spans="1:23" x14ac:dyDescent="0.15">
      <c r="A894" s="2" t="s">
        <v>97</v>
      </c>
      <c r="B894" s="2" t="s">
        <v>3933</v>
      </c>
      <c r="C894" s="2" t="s">
        <v>996</v>
      </c>
      <c r="D894" s="2" t="s">
        <v>4026</v>
      </c>
      <c r="E894" s="1"/>
      <c r="F894" s="2" t="s">
        <v>29</v>
      </c>
      <c r="H894" s="2" t="s">
        <v>3887</v>
      </c>
      <c r="I894" s="5"/>
      <c r="J894" s="5"/>
      <c r="K894" s="5"/>
      <c r="L894" s="5"/>
      <c r="N894" s="5"/>
      <c r="O894" s="5"/>
      <c r="P894" s="5"/>
      <c r="R894" s="5"/>
      <c r="S894" s="5"/>
      <c r="V894" s="5"/>
      <c r="W894" s="6" t="s">
        <v>838</v>
      </c>
    </row>
    <row r="895" spans="1:23" x14ac:dyDescent="0.15">
      <c r="A895" s="2" t="s">
        <v>97</v>
      </c>
      <c r="B895" s="2" t="s">
        <v>3932</v>
      </c>
      <c r="C895" s="2" t="s">
        <v>990</v>
      </c>
      <c r="D895" s="2" t="s">
        <v>718</v>
      </c>
      <c r="E895" s="1"/>
      <c r="F895" s="2" t="s">
        <v>26</v>
      </c>
      <c r="G895" s="2">
        <v>-2.4</v>
      </c>
      <c r="H895" s="2" t="str">
        <f t="shared" si="34"/>
        <v>W</v>
      </c>
      <c r="I895" s="5"/>
      <c r="J895" s="5"/>
      <c r="K895" s="5"/>
      <c r="L895" s="5">
        <v>6</v>
      </c>
      <c r="M895" s="2" t="s">
        <v>191</v>
      </c>
      <c r="N895" s="5">
        <v>38</v>
      </c>
      <c r="O895" s="5">
        <v>24</v>
      </c>
      <c r="P895" s="5">
        <v>12.49</v>
      </c>
      <c r="Q895" s="2" t="s">
        <v>376</v>
      </c>
      <c r="R895" s="5">
        <v>74.94</v>
      </c>
      <c r="S895" s="5"/>
      <c r="V895" s="5"/>
      <c r="W895" s="6" t="s">
        <v>2458</v>
      </c>
    </row>
    <row r="896" spans="1:23" x14ac:dyDescent="0.15">
      <c r="A896" s="1" t="s">
        <v>97</v>
      </c>
      <c r="B896" s="2" t="s">
        <v>3932</v>
      </c>
      <c r="C896" s="2" t="s">
        <v>990</v>
      </c>
      <c r="D896" s="1" t="s">
        <v>718</v>
      </c>
      <c r="E896" s="1"/>
      <c r="F896" s="1" t="s">
        <v>26</v>
      </c>
      <c r="G896" s="1" t="s">
        <v>374</v>
      </c>
      <c r="H896" s="2" t="str">
        <f t="shared" si="34"/>
        <v>C</v>
      </c>
      <c r="I896" s="8">
        <v>16.18</v>
      </c>
      <c r="J896" s="8">
        <v>609.79999999999995</v>
      </c>
      <c r="K896" s="8">
        <v>4</v>
      </c>
      <c r="L896" s="8">
        <v>5</v>
      </c>
      <c r="M896" s="2" t="s">
        <v>191</v>
      </c>
      <c r="N896" s="8">
        <v>35</v>
      </c>
      <c r="O896" s="8">
        <v>22.25</v>
      </c>
      <c r="P896" s="8">
        <v>13</v>
      </c>
      <c r="Q896" s="1" t="s">
        <v>18</v>
      </c>
      <c r="R896" s="8">
        <v>65</v>
      </c>
      <c r="S896" s="8">
        <v>10.66</v>
      </c>
      <c r="T896" s="1"/>
      <c r="U896" s="1"/>
      <c r="V896" s="8"/>
      <c r="W896" s="6" t="s">
        <v>3587</v>
      </c>
    </row>
    <row r="897" spans="1:23" x14ac:dyDescent="0.15">
      <c r="A897" s="2" t="s">
        <v>97</v>
      </c>
      <c r="B897" s="2" t="s">
        <v>3932</v>
      </c>
      <c r="C897" s="2" t="s">
        <v>990</v>
      </c>
      <c r="D897" s="2" t="s">
        <v>719</v>
      </c>
      <c r="E897" s="1" t="s">
        <v>3487</v>
      </c>
      <c r="F897" s="2" t="s">
        <v>58</v>
      </c>
      <c r="G897" s="2" t="s">
        <v>374</v>
      </c>
      <c r="H897" s="2" t="str">
        <f t="shared" si="34"/>
        <v>C</v>
      </c>
      <c r="I897" s="5">
        <v>29.78</v>
      </c>
      <c r="J897" s="5">
        <f xml:space="preserve"> 0.000053908*(I897*10)^3.1746</f>
        <v>3849.2361110764091</v>
      </c>
      <c r="K897" s="5"/>
      <c r="L897" s="5">
        <v>14.29</v>
      </c>
      <c r="M897" s="5" t="s">
        <v>191</v>
      </c>
      <c r="N897" s="5">
        <v>41.5</v>
      </c>
      <c r="O897" s="5">
        <v>27.5</v>
      </c>
      <c r="P897" s="5">
        <v>21.7</v>
      </c>
      <c r="Q897" s="2" t="s">
        <v>18</v>
      </c>
      <c r="R897" s="5">
        <v>310.08999999999997</v>
      </c>
      <c r="S897" s="5">
        <f>(R897/J897)*100</f>
        <v>8.0558841040615121</v>
      </c>
      <c r="V897" s="5"/>
      <c r="W897" s="6" t="s">
        <v>2401</v>
      </c>
    </row>
    <row r="898" spans="1:23" x14ac:dyDescent="0.15">
      <c r="A898" s="2" t="s">
        <v>97</v>
      </c>
      <c r="B898" s="2" t="s">
        <v>3932</v>
      </c>
      <c r="C898" s="2" t="s">
        <v>990</v>
      </c>
      <c r="D898" s="2" t="s">
        <v>719</v>
      </c>
      <c r="E898" s="1" t="s">
        <v>3486</v>
      </c>
      <c r="F898" s="2" t="s">
        <v>374</v>
      </c>
      <c r="G898" s="2" t="s">
        <v>374</v>
      </c>
      <c r="H898" s="2" t="str">
        <f t="shared" si="34"/>
        <v>C</v>
      </c>
      <c r="I898" s="5">
        <v>22.6</v>
      </c>
      <c r="J898" s="5">
        <v>1967</v>
      </c>
      <c r="K898" s="5"/>
      <c r="L898" s="5">
        <v>13</v>
      </c>
      <c r="M898" s="2" t="s">
        <v>191</v>
      </c>
      <c r="N898" s="5">
        <f>MEDIAN(31,42.5)</f>
        <v>36.75</v>
      </c>
      <c r="O898" s="5">
        <f>MEDIAN(22,27.5)</f>
        <v>24.75</v>
      </c>
      <c r="P898" s="5">
        <v>13.5</v>
      </c>
      <c r="Q898" s="2" t="s">
        <v>376</v>
      </c>
      <c r="R898" s="5">
        <f>P898*L898</f>
        <v>175.5</v>
      </c>
      <c r="S898" s="5">
        <f>(R898/J898)*100</f>
        <v>8.9222165734621246</v>
      </c>
      <c r="T898" s="9">
        <f>MEDIAN(2,4)</f>
        <v>3</v>
      </c>
      <c r="U898" s="2" t="str">
        <f>IF(T898&lt;=1, "1",IF(AND(T898&gt;1,T898&lt;4), "2-3", "+4"))</f>
        <v>2-3</v>
      </c>
      <c r="V898" s="5">
        <f>S898*T898</f>
        <v>26.766649720386376</v>
      </c>
      <c r="W898" s="6" t="s">
        <v>2399</v>
      </c>
    </row>
    <row r="899" spans="1:23" x14ac:dyDescent="0.15">
      <c r="A899" s="2" t="s">
        <v>97</v>
      </c>
      <c r="B899" s="2" t="s">
        <v>3932</v>
      </c>
      <c r="C899" s="2" t="s">
        <v>990</v>
      </c>
      <c r="D899" s="2" t="s">
        <v>719</v>
      </c>
      <c r="E899" s="1" t="s">
        <v>3487</v>
      </c>
      <c r="F899" s="2" t="s">
        <v>58</v>
      </c>
      <c r="G899" s="2" t="s">
        <v>374</v>
      </c>
      <c r="H899" s="2" t="str">
        <f t="shared" si="34"/>
        <v>C</v>
      </c>
      <c r="I899" s="5"/>
      <c r="J899" s="5">
        <v>3800</v>
      </c>
      <c r="K899" s="5"/>
      <c r="L899" s="5">
        <v>11</v>
      </c>
      <c r="M899" s="2" t="s">
        <v>191</v>
      </c>
      <c r="N899" s="5">
        <v>40</v>
      </c>
      <c r="O899" s="5">
        <v>25</v>
      </c>
      <c r="P899" s="5">
        <v>18</v>
      </c>
      <c r="Q899" s="2" t="s">
        <v>18</v>
      </c>
      <c r="R899" s="5">
        <v>198</v>
      </c>
      <c r="S899" s="5">
        <v>5.21</v>
      </c>
      <c r="T899" s="2">
        <v>3</v>
      </c>
      <c r="U899" s="2" t="str">
        <f>IF(T899&lt;=1, "1",IF(AND(T899&gt;1,T899&lt;4), "2-3", "+4"))</f>
        <v>2-3</v>
      </c>
      <c r="V899" s="5">
        <f>S899*T899</f>
        <v>15.629999999999999</v>
      </c>
      <c r="W899" s="6" t="s">
        <v>3222</v>
      </c>
    </row>
    <row r="900" spans="1:23" x14ac:dyDescent="0.15">
      <c r="A900" s="2" t="s">
        <v>97</v>
      </c>
      <c r="B900" s="2" t="s">
        <v>3932</v>
      </c>
      <c r="C900" s="2" t="s">
        <v>990</v>
      </c>
      <c r="D900" s="2" t="s">
        <v>719</v>
      </c>
      <c r="E900" s="1" t="s">
        <v>3486</v>
      </c>
      <c r="F900" s="2" t="s">
        <v>219</v>
      </c>
      <c r="G900" s="2">
        <v>10.4</v>
      </c>
      <c r="H900" s="2" t="str">
        <f t="shared" si="34"/>
        <v>W</v>
      </c>
      <c r="I900" s="5">
        <v>25.58</v>
      </c>
      <c r="J900" s="5">
        <v>2412.9</v>
      </c>
      <c r="K900" s="5"/>
      <c r="L900" s="5">
        <v>17.375</v>
      </c>
      <c r="M900" s="2" t="s">
        <v>191</v>
      </c>
      <c r="N900" s="5">
        <v>36.31</v>
      </c>
      <c r="O900" s="5">
        <v>24.97</v>
      </c>
      <c r="P900" s="5">
        <v>10.61</v>
      </c>
      <c r="Q900" s="2" t="s">
        <v>376</v>
      </c>
      <c r="R900" s="5">
        <v>184.37</v>
      </c>
      <c r="S900" s="5">
        <v>7.64</v>
      </c>
      <c r="T900" s="2" t="s">
        <v>495</v>
      </c>
      <c r="U900" s="40" t="s">
        <v>395</v>
      </c>
      <c r="V900" s="5"/>
      <c r="W900" s="6" t="s">
        <v>2459</v>
      </c>
    </row>
    <row r="901" spans="1:23" x14ac:dyDescent="0.15">
      <c r="A901" s="2" t="s">
        <v>97</v>
      </c>
      <c r="B901" s="2" t="s">
        <v>3932</v>
      </c>
      <c r="C901" s="2" t="s">
        <v>990</v>
      </c>
      <c r="D901" s="2" t="s">
        <v>719</v>
      </c>
      <c r="E901" s="1" t="s">
        <v>3486</v>
      </c>
      <c r="F901" s="2" t="s">
        <v>219</v>
      </c>
      <c r="G901" s="2">
        <v>9.2799999999999994</v>
      </c>
      <c r="H901" s="2" t="str">
        <f t="shared" si="34"/>
        <v>W</v>
      </c>
      <c r="I901" s="5">
        <v>21.7</v>
      </c>
      <c r="J901" s="5">
        <f xml:space="preserve"> 0.000053908*(I901*10)^3.1746</f>
        <v>1409.218353575689</v>
      </c>
      <c r="K901" s="5"/>
      <c r="L901" s="5">
        <v>7.7</v>
      </c>
      <c r="M901" s="2" t="s">
        <v>191</v>
      </c>
      <c r="N901" s="5"/>
      <c r="O901" s="5"/>
      <c r="P901" s="5"/>
      <c r="R901" s="5"/>
      <c r="S901" s="5"/>
      <c r="V901" s="5"/>
      <c r="W901" s="6" t="s">
        <v>3433</v>
      </c>
    </row>
    <row r="902" spans="1:23" x14ac:dyDescent="0.15">
      <c r="A902" s="2" t="s">
        <v>97</v>
      </c>
      <c r="B902" s="2" t="s">
        <v>3932</v>
      </c>
      <c r="C902" s="2" t="s">
        <v>990</v>
      </c>
      <c r="D902" s="2" t="s">
        <v>719</v>
      </c>
      <c r="E902" s="1" t="s">
        <v>3487</v>
      </c>
      <c r="F902" s="2" t="s">
        <v>374</v>
      </c>
      <c r="G902" s="2" t="s">
        <v>374</v>
      </c>
      <c r="H902" s="2" t="str">
        <f t="shared" si="34"/>
        <v>C</v>
      </c>
      <c r="I902" s="5">
        <v>25.7</v>
      </c>
      <c r="J902" s="5">
        <f xml:space="preserve"> 0.000053908*(I902*10)^3.1746</f>
        <v>2411.1649008481195</v>
      </c>
      <c r="K902" s="5"/>
      <c r="L902" s="5">
        <v>7.6</v>
      </c>
      <c r="M902" s="2" t="s">
        <v>191</v>
      </c>
      <c r="N902" s="5">
        <v>41.14</v>
      </c>
      <c r="O902" s="5">
        <v>25.07</v>
      </c>
      <c r="P902" s="5">
        <v>15.356999999999999</v>
      </c>
      <c r="Q902" s="2" t="s">
        <v>18</v>
      </c>
      <c r="R902" s="5">
        <v>116.71</v>
      </c>
      <c r="S902" s="5">
        <f>(R902/J902)*100</f>
        <v>4.8403989274623074</v>
      </c>
      <c r="T902" s="9">
        <f>MEDIAN(1,2)</f>
        <v>1.5</v>
      </c>
      <c r="U902" s="2" t="str">
        <f>IF(T902&lt;=1, "1",IF(AND(T902&gt;1,T902&lt;4), "2-3", "+4"))</f>
        <v>2-3</v>
      </c>
      <c r="V902" s="5">
        <f>S902*T902</f>
        <v>7.2605983911934615</v>
      </c>
      <c r="W902" s="6" t="s">
        <v>2400</v>
      </c>
    </row>
    <row r="903" spans="1:23" x14ac:dyDescent="0.15">
      <c r="A903" s="2" t="s">
        <v>97</v>
      </c>
      <c r="B903" s="2" t="s">
        <v>3932</v>
      </c>
      <c r="C903" s="2" t="s">
        <v>990</v>
      </c>
      <c r="D903" s="2" t="s">
        <v>719</v>
      </c>
      <c r="E903" s="1" t="s">
        <v>3486</v>
      </c>
      <c r="F903" s="2" t="s">
        <v>853</v>
      </c>
      <c r="H903" s="2" t="s">
        <v>3887</v>
      </c>
      <c r="I903" s="5">
        <v>25</v>
      </c>
      <c r="J903" s="5">
        <f xml:space="preserve"> 0.000053908*(I903*10)^3.1746</f>
        <v>2208.7856454357548</v>
      </c>
      <c r="K903" s="5"/>
      <c r="L903" s="5">
        <f>MEDIAN(12,25)</f>
        <v>18.5</v>
      </c>
      <c r="M903" s="2" t="s">
        <v>191</v>
      </c>
      <c r="N903" s="5">
        <v>35</v>
      </c>
      <c r="O903" s="5">
        <v>20</v>
      </c>
      <c r="P903" s="5">
        <v>8.4120000000000008</v>
      </c>
      <c r="Q903" s="2" t="s">
        <v>376</v>
      </c>
      <c r="R903" s="5">
        <f>P903*L903</f>
        <v>155.62200000000001</v>
      </c>
      <c r="S903" s="5">
        <f>(R903/J903)*100</f>
        <v>7.0455908802910807</v>
      </c>
      <c r="T903" s="9">
        <f>MEDIAN(2,3)</f>
        <v>2.5</v>
      </c>
      <c r="U903" s="2" t="str">
        <f>IF(T903&lt;=1, "1",IF(AND(T903&gt;1,T903&lt;4), "2-3", "+4"))</f>
        <v>2-3</v>
      </c>
      <c r="V903" s="5">
        <f>S903*T903</f>
        <v>17.613977200727703</v>
      </c>
      <c r="W903" s="6" t="s">
        <v>2165</v>
      </c>
    </row>
    <row r="904" spans="1:23" x14ac:dyDescent="0.15">
      <c r="A904" s="2" t="s">
        <v>97</v>
      </c>
      <c r="B904" s="2" t="s">
        <v>3932</v>
      </c>
      <c r="C904" s="2" t="s">
        <v>990</v>
      </c>
      <c r="D904" s="2" t="s">
        <v>720</v>
      </c>
      <c r="E904" s="1"/>
      <c r="F904" s="2" t="s">
        <v>520</v>
      </c>
      <c r="G904" s="2">
        <v>18</v>
      </c>
      <c r="H904" s="2" t="str">
        <f t="shared" si="34"/>
        <v>W</v>
      </c>
      <c r="I904" s="5">
        <v>26.05</v>
      </c>
      <c r="J904" s="5">
        <f xml:space="preserve"> 0.000053908*(I904*10)^3.1746</f>
        <v>2516.9606846461311</v>
      </c>
      <c r="K904" s="5"/>
      <c r="L904" s="5">
        <v>12</v>
      </c>
      <c r="M904" s="2" t="s">
        <v>191</v>
      </c>
      <c r="N904" s="5">
        <v>40.4</v>
      </c>
      <c r="O904" s="5">
        <v>25.8</v>
      </c>
      <c r="P904" s="5">
        <v>15.737</v>
      </c>
      <c r="Q904" s="2" t="s">
        <v>376</v>
      </c>
      <c r="R904" s="5">
        <f>P904*L904</f>
        <v>188.84399999999999</v>
      </c>
      <c r="S904" s="5">
        <f>(R904/J904)*100</f>
        <v>7.5028585528561909</v>
      </c>
      <c r="V904" s="5"/>
      <c r="W904" s="6" t="s">
        <v>3331</v>
      </c>
    </row>
    <row r="905" spans="1:23" x14ac:dyDescent="0.15">
      <c r="A905" s="2" t="s">
        <v>97</v>
      </c>
      <c r="B905" s="2" t="s">
        <v>3932</v>
      </c>
      <c r="C905" s="2" t="s">
        <v>990</v>
      </c>
      <c r="D905" s="2" t="s">
        <v>519</v>
      </c>
      <c r="E905" s="1" t="s">
        <v>3488</v>
      </c>
      <c r="F905" s="2" t="s">
        <v>72</v>
      </c>
      <c r="G905" s="2">
        <v>22.46</v>
      </c>
      <c r="H905" s="2" t="str">
        <f t="shared" si="34"/>
        <v>W</v>
      </c>
      <c r="I905" s="5">
        <v>23.75</v>
      </c>
      <c r="J905" s="5">
        <v>1947.5</v>
      </c>
      <c r="K905" s="5"/>
      <c r="L905" s="5">
        <v>5.09</v>
      </c>
      <c r="M905" s="2" t="s">
        <v>191</v>
      </c>
      <c r="N905" s="5"/>
      <c r="O905" s="5"/>
      <c r="P905" s="5"/>
      <c r="R905" s="5"/>
      <c r="S905" s="5"/>
      <c r="T905" s="9"/>
      <c r="U905" s="9"/>
      <c r="V905" s="5"/>
      <c r="W905" s="6" t="s">
        <v>2208</v>
      </c>
    </row>
    <row r="906" spans="1:23" x14ac:dyDescent="0.15">
      <c r="A906" s="2" t="s">
        <v>97</v>
      </c>
      <c r="B906" s="2" t="s">
        <v>3932</v>
      </c>
      <c r="C906" s="2" t="s">
        <v>990</v>
      </c>
      <c r="D906" s="2" t="s">
        <v>519</v>
      </c>
      <c r="E906" s="1" t="s">
        <v>3489</v>
      </c>
      <c r="F906" s="2" t="s">
        <v>72</v>
      </c>
      <c r="G906" s="2">
        <v>23</v>
      </c>
      <c r="H906" s="2" t="str">
        <f t="shared" si="34"/>
        <v>W</v>
      </c>
      <c r="I906" s="5">
        <v>23.05</v>
      </c>
      <c r="J906" s="5">
        <v>1825</v>
      </c>
      <c r="K906" s="5"/>
      <c r="L906" s="5">
        <v>8.33</v>
      </c>
      <c r="M906" s="2" t="s">
        <v>191</v>
      </c>
      <c r="N906" s="5"/>
      <c r="O906" s="5"/>
      <c r="P906" s="5"/>
      <c r="R906" s="5"/>
      <c r="S906" s="5"/>
      <c r="T906" s="9"/>
      <c r="U906" s="9"/>
      <c r="V906" s="5"/>
      <c r="W906" s="6" t="s">
        <v>2208</v>
      </c>
    </row>
    <row r="907" spans="1:23" x14ac:dyDescent="0.15">
      <c r="A907" s="2" t="s">
        <v>97</v>
      </c>
      <c r="B907" s="2" t="s">
        <v>3932</v>
      </c>
      <c r="C907" s="2" t="s">
        <v>990</v>
      </c>
      <c r="D907" s="2" t="s">
        <v>519</v>
      </c>
      <c r="E907" s="1" t="s">
        <v>3488</v>
      </c>
      <c r="F907" s="2" t="s">
        <v>520</v>
      </c>
      <c r="G907" s="2">
        <v>19</v>
      </c>
      <c r="H907" s="2" t="str">
        <f t="shared" si="34"/>
        <v>W</v>
      </c>
      <c r="I907" s="5">
        <v>21.16</v>
      </c>
      <c r="J907" s="5">
        <f xml:space="preserve"> 0.000053908*(I907*10)^3.1746</f>
        <v>1300.8740326102304</v>
      </c>
      <c r="K907" s="5"/>
      <c r="L907" s="5">
        <v>6</v>
      </c>
      <c r="M907" s="5" t="s">
        <v>191</v>
      </c>
      <c r="N907" s="5">
        <v>42.7</v>
      </c>
      <c r="O907" s="5">
        <v>26</v>
      </c>
      <c r="P907" s="5">
        <v>16.863</v>
      </c>
      <c r="Q907" s="2" t="s">
        <v>376</v>
      </c>
      <c r="R907" s="5">
        <f>P907*L907</f>
        <v>101.178</v>
      </c>
      <c r="S907" s="5">
        <f>(R907/J907)*100</f>
        <v>7.7776938783983773</v>
      </c>
      <c r="V907" s="5"/>
      <c r="W907" s="6" t="s">
        <v>2402</v>
      </c>
    </row>
    <row r="908" spans="1:23" x14ac:dyDescent="0.15">
      <c r="A908" s="2" t="s">
        <v>97</v>
      </c>
      <c r="B908" s="2" t="s">
        <v>3932</v>
      </c>
      <c r="C908" s="2" t="s">
        <v>990</v>
      </c>
      <c r="D908" s="2" t="s">
        <v>519</v>
      </c>
      <c r="E908" s="1" t="s">
        <v>3488</v>
      </c>
      <c r="F908" s="2" t="s">
        <v>72</v>
      </c>
      <c r="G908" s="2">
        <v>22</v>
      </c>
      <c r="H908" s="2" t="str">
        <f t="shared" si="34"/>
        <v>W</v>
      </c>
      <c r="I908" s="5">
        <v>17.100000000000001</v>
      </c>
      <c r="J908" s="5">
        <f xml:space="preserve"> 0.000053908*(I908*10)^3.1746</f>
        <v>661.48906871085387</v>
      </c>
      <c r="K908" s="5"/>
      <c r="L908" s="5">
        <v>5</v>
      </c>
      <c r="M908" s="2" t="s">
        <v>191</v>
      </c>
      <c r="N908" s="5">
        <v>39.4</v>
      </c>
      <c r="O908" s="5">
        <v>23.3</v>
      </c>
      <c r="P908" s="5">
        <v>13.3</v>
      </c>
      <c r="Q908" s="2" t="s">
        <v>18</v>
      </c>
      <c r="R908" s="5">
        <v>66.5</v>
      </c>
      <c r="S908" s="5">
        <f>(R908/J908)*100</f>
        <v>10.053076180018945</v>
      </c>
      <c r="T908" s="2">
        <v>1</v>
      </c>
      <c r="U908" s="2" t="str">
        <f>IF(T908&lt;=1, "1",IF(AND(T908&gt;1,T908&lt;4), "2-3", "+4"))</f>
        <v>1</v>
      </c>
      <c r="V908" s="5">
        <f>S908*T908</f>
        <v>10.053076180018945</v>
      </c>
      <c r="W908" s="6" t="s">
        <v>1979</v>
      </c>
    </row>
    <row r="909" spans="1:23" x14ac:dyDescent="0.15">
      <c r="A909" s="2" t="s">
        <v>97</v>
      </c>
      <c r="B909" s="2" t="s">
        <v>3932</v>
      </c>
      <c r="C909" s="2" t="s">
        <v>990</v>
      </c>
      <c r="D909" s="2" t="s">
        <v>556</v>
      </c>
      <c r="E909" s="1"/>
      <c r="F909" s="2" t="s">
        <v>26</v>
      </c>
      <c r="G909" s="2">
        <v>-32.799999999999997</v>
      </c>
      <c r="H909" s="2" t="str">
        <f t="shared" si="34"/>
        <v>W</v>
      </c>
      <c r="I909" s="5">
        <v>23.5</v>
      </c>
      <c r="J909" s="5">
        <f xml:space="preserve"> 0.000053908*(I909*10)^3.1746</f>
        <v>1814.8688863149937</v>
      </c>
      <c r="K909" s="5"/>
      <c r="L909" s="5">
        <v>12.1</v>
      </c>
      <c r="M909" s="5" t="s">
        <v>191</v>
      </c>
      <c r="N909" s="5">
        <v>39.299999999999997</v>
      </c>
      <c r="O909" s="5">
        <v>25.8</v>
      </c>
      <c r="P909" s="5">
        <v>14.9</v>
      </c>
      <c r="Q909" s="2" t="s">
        <v>18</v>
      </c>
      <c r="R909" s="5">
        <v>180.29</v>
      </c>
      <c r="S909" s="5">
        <f>(R909/J909)*100</f>
        <v>9.9340509586932413</v>
      </c>
      <c r="T909" s="5">
        <v>1.44</v>
      </c>
      <c r="U909" s="2" t="str">
        <f>IF(T909&lt;=1, "1",IF(AND(T909&gt;1,T909&lt;4), "2-3", "+4"))</f>
        <v>2-3</v>
      </c>
      <c r="V909" s="5">
        <f>S909*T909</f>
        <v>14.305033380518267</v>
      </c>
      <c r="W909" s="6" t="s">
        <v>2403</v>
      </c>
    </row>
    <row r="910" spans="1:23" x14ac:dyDescent="0.15">
      <c r="A910" s="2" t="s">
        <v>97</v>
      </c>
      <c r="B910" s="2" t="s">
        <v>3932</v>
      </c>
      <c r="C910" s="2" t="s">
        <v>990</v>
      </c>
      <c r="D910" s="2" t="s">
        <v>556</v>
      </c>
      <c r="E910" s="1"/>
      <c r="F910" s="2" t="s">
        <v>247</v>
      </c>
      <c r="H910" s="2" t="s">
        <v>3887</v>
      </c>
      <c r="I910" s="5"/>
      <c r="J910" s="5"/>
      <c r="K910" s="5"/>
      <c r="L910" s="5"/>
      <c r="M910" s="5" t="s">
        <v>191</v>
      </c>
      <c r="N910" s="5">
        <v>41</v>
      </c>
      <c r="O910" s="5">
        <v>27</v>
      </c>
      <c r="P910" s="5">
        <f xml:space="preserve"> (0.1911*N910) + (1.0876*O910) - 19.774</f>
        <v>17.426299999999998</v>
      </c>
      <c r="Q910" s="2" t="s">
        <v>376</v>
      </c>
      <c r="R910" s="5"/>
      <c r="S910" s="5"/>
      <c r="V910" s="5"/>
      <c r="W910" s="6" t="s">
        <v>2769</v>
      </c>
    </row>
    <row r="911" spans="1:23" x14ac:dyDescent="0.15">
      <c r="A911" s="2" t="s">
        <v>97</v>
      </c>
      <c r="B911" s="2" t="s">
        <v>3932</v>
      </c>
      <c r="C911" s="2" t="s">
        <v>990</v>
      </c>
      <c r="D911" s="2" t="s">
        <v>556</v>
      </c>
      <c r="E911" s="1"/>
      <c r="F911" s="2" t="s">
        <v>26</v>
      </c>
      <c r="G911" s="2">
        <v>-31.78</v>
      </c>
      <c r="H911" s="2" t="str">
        <f t="shared" si="34"/>
        <v>W</v>
      </c>
      <c r="I911" s="5">
        <v>20.59</v>
      </c>
      <c r="J911" s="5">
        <f xml:space="preserve"> 0.000053908*(I911*10)^3.1746</f>
        <v>1192.852259864165</v>
      </c>
      <c r="K911" s="5"/>
      <c r="L911" s="5">
        <v>8.1999999999999993</v>
      </c>
      <c r="M911" s="2" t="s">
        <v>191</v>
      </c>
      <c r="N911" s="5">
        <v>37.299999999999997</v>
      </c>
      <c r="O911" s="5">
        <v>20.2</v>
      </c>
      <c r="P911" s="5">
        <f xml:space="preserve"> (0.1911*N911) + (1.0876*O911) - 19.774</f>
        <v>9.3235499999999938</v>
      </c>
      <c r="Q911" s="2" t="s">
        <v>376</v>
      </c>
      <c r="R911" s="5">
        <f>P911*L911</f>
        <v>76.453109999999938</v>
      </c>
      <c r="S911" s="5">
        <f>(R911/J911)*100</f>
        <v>6.4092689910069804</v>
      </c>
      <c r="V911" s="5"/>
      <c r="W911" s="6" t="s">
        <v>1823</v>
      </c>
    </row>
    <row r="912" spans="1:23" x14ac:dyDescent="0.15">
      <c r="A912" s="2" t="s">
        <v>97</v>
      </c>
      <c r="B912" s="2" t="s">
        <v>3932</v>
      </c>
      <c r="C912" s="2" t="s">
        <v>990</v>
      </c>
      <c r="D912" s="2" t="s">
        <v>556</v>
      </c>
      <c r="E912" s="1"/>
      <c r="F912" s="2" t="s">
        <v>247</v>
      </c>
      <c r="G912" s="2">
        <v>-30</v>
      </c>
      <c r="H912" s="2" t="str">
        <f t="shared" si="34"/>
        <v>W</v>
      </c>
      <c r="I912" s="5"/>
      <c r="J912" s="5"/>
      <c r="K912" s="5"/>
      <c r="L912" s="5">
        <v>14</v>
      </c>
      <c r="M912" s="2" t="s">
        <v>191</v>
      </c>
      <c r="N912" s="5">
        <v>41</v>
      </c>
      <c r="O912" s="5">
        <v>27</v>
      </c>
      <c r="P912" s="5">
        <v>18.405999999999999</v>
      </c>
      <c r="Q912" s="2" t="s">
        <v>376</v>
      </c>
      <c r="R912" s="5">
        <v>257.39999999999998</v>
      </c>
      <c r="S912" s="5"/>
      <c r="V912" s="5"/>
      <c r="W912" s="6" t="s">
        <v>1981</v>
      </c>
    </row>
    <row r="913" spans="1:23" x14ac:dyDescent="0.15">
      <c r="A913" s="2" t="s">
        <v>97</v>
      </c>
      <c r="B913" s="2" t="s">
        <v>3932</v>
      </c>
      <c r="C913" s="2" t="s">
        <v>990</v>
      </c>
      <c r="D913" s="2" t="s">
        <v>556</v>
      </c>
      <c r="E913" s="1"/>
      <c r="F913" s="2" t="s">
        <v>26</v>
      </c>
      <c r="G913" s="2">
        <v>-35.83</v>
      </c>
      <c r="H913" s="2" t="str">
        <f t="shared" si="34"/>
        <v>W</v>
      </c>
      <c r="I913" s="5"/>
      <c r="J913" s="5"/>
      <c r="K913" s="5"/>
      <c r="L913" s="5">
        <v>11.61</v>
      </c>
      <c r="M913" s="2" t="s">
        <v>191</v>
      </c>
      <c r="N913" s="5">
        <v>39.1</v>
      </c>
      <c r="O913" s="5">
        <v>24.9</v>
      </c>
      <c r="P913" s="5">
        <v>13.79</v>
      </c>
      <c r="Q913" s="2" t="s">
        <v>18</v>
      </c>
      <c r="R913" s="5">
        <v>161.1</v>
      </c>
      <c r="S913" s="5"/>
      <c r="V913" s="5"/>
      <c r="W913" s="6" t="s">
        <v>2404</v>
      </c>
    </row>
    <row r="914" spans="1:23" x14ac:dyDescent="0.15">
      <c r="A914" s="2" t="s">
        <v>97</v>
      </c>
      <c r="B914" s="2" t="s">
        <v>3932</v>
      </c>
      <c r="C914" s="2" t="s">
        <v>990</v>
      </c>
      <c r="D914" s="2" t="s">
        <v>556</v>
      </c>
      <c r="E914" s="1"/>
      <c r="F914" s="2" t="s">
        <v>26</v>
      </c>
      <c r="G914" s="2">
        <v>-32.82</v>
      </c>
      <c r="H914" s="2" t="str">
        <f t="shared" si="34"/>
        <v>W</v>
      </c>
      <c r="I914" s="5">
        <v>20.47</v>
      </c>
      <c r="J914" s="5">
        <f xml:space="preserve"> 0.000053908*(I914*10)^3.1746</f>
        <v>1170.9218844535942</v>
      </c>
      <c r="K914" s="5"/>
      <c r="L914" s="5">
        <v>8.1999999999999993</v>
      </c>
      <c r="M914" s="2" t="s">
        <v>191</v>
      </c>
      <c r="N914" s="5">
        <v>37.4</v>
      </c>
      <c r="O914" s="5">
        <v>20.100000000000001</v>
      </c>
      <c r="P914" s="5">
        <f xml:space="preserve"> (0.1911*N914) + (1.0876*O914) - 19.774</f>
        <v>9.2338999999999984</v>
      </c>
      <c r="Q914" s="2" t="s">
        <v>376</v>
      </c>
      <c r="R914" s="5">
        <f>P914*L914</f>
        <v>75.717979999999983</v>
      </c>
      <c r="S914" s="5">
        <f>(R914/J914)*100</f>
        <v>6.4665270164741582</v>
      </c>
      <c r="V914" s="5"/>
      <c r="W914" s="6" t="s">
        <v>1980</v>
      </c>
    </row>
    <row r="915" spans="1:23" x14ac:dyDescent="0.15">
      <c r="A915" s="2" t="s">
        <v>97</v>
      </c>
      <c r="B915" s="2" t="s">
        <v>3932</v>
      </c>
      <c r="C915" s="2" t="s">
        <v>990</v>
      </c>
      <c r="D915" s="2" t="s">
        <v>556</v>
      </c>
      <c r="E915" s="1"/>
      <c r="F915" s="2" t="s">
        <v>26</v>
      </c>
      <c r="G915" s="2">
        <v>-32.17</v>
      </c>
      <c r="H915" s="2" t="str">
        <f t="shared" si="34"/>
        <v>W</v>
      </c>
      <c r="I915" s="5">
        <v>21</v>
      </c>
      <c r="J915" s="5">
        <f xml:space="preserve"> 0.000053908*(I915*10)^3.1746</f>
        <v>1269.9031274670006</v>
      </c>
      <c r="K915" s="5"/>
      <c r="L915" s="5">
        <v>9.1999999999999993</v>
      </c>
      <c r="M915" s="2" t="s">
        <v>191</v>
      </c>
      <c r="N915" s="5">
        <v>39.6</v>
      </c>
      <c r="O915" s="5">
        <v>24.7</v>
      </c>
      <c r="P915" s="5">
        <f xml:space="preserve"> (0.1911*N915) + (1.0876*O915) - 19.774</f>
        <v>14.65728</v>
      </c>
      <c r="Q915" s="2" t="s">
        <v>376</v>
      </c>
      <c r="R915" s="5">
        <f>P915*L915</f>
        <v>134.84697599999998</v>
      </c>
      <c r="S915" s="5">
        <f>(R915/J915)*100</f>
        <v>10.618682093410632</v>
      </c>
      <c r="V915" s="5"/>
      <c r="W915" s="6" t="s">
        <v>1980</v>
      </c>
    </row>
    <row r="916" spans="1:23" x14ac:dyDescent="0.15">
      <c r="A916" s="2" t="s">
        <v>97</v>
      </c>
      <c r="B916" s="2" t="s">
        <v>3932</v>
      </c>
      <c r="C916" s="2" t="s">
        <v>990</v>
      </c>
      <c r="D916" s="2" t="s">
        <v>556</v>
      </c>
      <c r="E916" s="1"/>
      <c r="F916" s="2" t="s">
        <v>26</v>
      </c>
      <c r="G916" s="2">
        <v>-31.77</v>
      </c>
      <c r="H916" s="2" t="str">
        <f t="shared" si="34"/>
        <v>W</v>
      </c>
      <c r="I916" s="5">
        <v>23.36</v>
      </c>
      <c r="J916" s="5">
        <f xml:space="preserve"> 0.000053908*(I916*10)^3.1746</f>
        <v>1780.7669737678059</v>
      </c>
      <c r="K916" s="5"/>
      <c r="L916" s="5">
        <v>11.8</v>
      </c>
      <c r="M916" s="2" t="s">
        <v>191</v>
      </c>
      <c r="N916" s="5">
        <v>39</v>
      </c>
      <c r="O916" s="5">
        <v>25.8</v>
      </c>
      <c r="P916" s="5">
        <f xml:space="preserve"> (0.1911*N916) + (1.0876*O916) - 19.774</f>
        <v>15.738979999999998</v>
      </c>
      <c r="Q916" s="2" t="s">
        <v>376</v>
      </c>
      <c r="R916" s="5">
        <f>P916*L916</f>
        <v>185.71996399999998</v>
      </c>
      <c r="S916" s="5">
        <f>(R916/J916)*100</f>
        <v>10.429212060635171</v>
      </c>
      <c r="V916" s="5"/>
      <c r="W916" s="6" t="s">
        <v>192</v>
      </c>
    </row>
    <row r="917" spans="1:23" x14ac:dyDescent="0.15">
      <c r="A917" s="2" t="s">
        <v>97</v>
      </c>
      <c r="B917" s="2" t="s">
        <v>3932</v>
      </c>
      <c r="C917" s="2" t="s">
        <v>990</v>
      </c>
      <c r="D917" s="2" t="s">
        <v>556</v>
      </c>
      <c r="E917" s="1"/>
      <c r="F917" s="2" t="s">
        <v>26</v>
      </c>
      <c r="G917" s="2" t="s">
        <v>374</v>
      </c>
      <c r="H917" s="2" t="str">
        <f t="shared" si="34"/>
        <v>C</v>
      </c>
      <c r="I917" s="5">
        <f>MEDIAN(18.3,24.7)</f>
        <v>21.5</v>
      </c>
      <c r="J917" s="5">
        <f xml:space="preserve"> 0.000053908*(((24.7+18.3)/2)*10)^3.1746</f>
        <v>1368.3977598397159</v>
      </c>
      <c r="K917" s="5"/>
      <c r="L917" s="5">
        <v>8.86</v>
      </c>
      <c r="M917" s="2" t="s">
        <v>191</v>
      </c>
      <c r="N917" s="5">
        <v>39</v>
      </c>
      <c r="O917" s="5">
        <v>25.4</v>
      </c>
      <c r="P917" s="5">
        <v>14.07</v>
      </c>
      <c r="Q917" s="2" t="s">
        <v>18</v>
      </c>
      <c r="R917" s="5">
        <v>124.66</v>
      </c>
      <c r="S917" s="5">
        <f>(R917/J917)*100</f>
        <v>9.1099242967630811</v>
      </c>
      <c r="T917" s="5" t="s">
        <v>372</v>
      </c>
      <c r="U917" s="40" t="s">
        <v>395</v>
      </c>
      <c r="V917" s="5"/>
      <c r="W917" s="6" t="s">
        <v>2186</v>
      </c>
    </row>
    <row r="918" spans="1:23" x14ac:dyDescent="0.15">
      <c r="A918" s="2" t="s">
        <v>97</v>
      </c>
      <c r="B918" s="2" t="s">
        <v>3932</v>
      </c>
      <c r="C918" s="2" t="s">
        <v>990</v>
      </c>
      <c r="D918" s="2" t="s">
        <v>556</v>
      </c>
      <c r="E918" s="1"/>
      <c r="F918" s="2" t="s">
        <v>26</v>
      </c>
      <c r="G918" s="2" t="s">
        <v>374</v>
      </c>
      <c r="H918" s="2" t="str">
        <f t="shared" si="34"/>
        <v>C</v>
      </c>
      <c r="I918" s="5"/>
      <c r="J918" s="5"/>
      <c r="K918" s="5"/>
      <c r="L918" s="5">
        <v>7.97</v>
      </c>
      <c r="M918" s="2" t="s">
        <v>191</v>
      </c>
      <c r="N918" s="5"/>
      <c r="O918" s="5"/>
      <c r="P918" s="5"/>
      <c r="R918" s="5"/>
      <c r="S918" s="5"/>
      <c r="V918" s="5"/>
      <c r="W918" s="6" t="s">
        <v>3223</v>
      </c>
    </row>
    <row r="919" spans="1:23" x14ac:dyDescent="0.15">
      <c r="A919" s="1" t="s">
        <v>97</v>
      </c>
      <c r="B919" s="2" t="s">
        <v>3932</v>
      </c>
      <c r="C919" s="2" t="s">
        <v>990</v>
      </c>
      <c r="D919" s="1" t="s">
        <v>556</v>
      </c>
      <c r="E919" s="1"/>
      <c r="F919" s="1" t="s">
        <v>374</v>
      </c>
      <c r="G919" s="1" t="s">
        <v>374</v>
      </c>
      <c r="H919" s="2" t="str">
        <f t="shared" si="34"/>
        <v>C</v>
      </c>
      <c r="I919" s="8">
        <v>18.100000000000001</v>
      </c>
      <c r="J919" s="8">
        <v>1090</v>
      </c>
      <c r="K919" s="8"/>
      <c r="L919" s="8">
        <v>5</v>
      </c>
      <c r="M919" s="2" t="s">
        <v>191</v>
      </c>
      <c r="N919" s="8">
        <v>38.5</v>
      </c>
      <c r="O919" s="8">
        <v>21</v>
      </c>
      <c r="P919" s="8">
        <v>13.5</v>
      </c>
      <c r="Q919" s="1" t="s">
        <v>18</v>
      </c>
      <c r="R919" s="8">
        <v>67.5</v>
      </c>
      <c r="S919" s="8">
        <v>6.1929999999999996</v>
      </c>
      <c r="T919" s="1"/>
      <c r="U919" s="1"/>
      <c r="V919" s="8"/>
      <c r="W919" s="6" t="s">
        <v>3588</v>
      </c>
    </row>
    <row r="920" spans="1:23" x14ac:dyDescent="0.15">
      <c r="A920" s="2" t="s">
        <v>97</v>
      </c>
      <c r="B920" s="2" t="s">
        <v>3932</v>
      </c>
      <c r="C920" s="2" t="s">
        <v>990</v>
      </c>
      <c r="D920" s="2" t="s">
        <v>556</v>
      </c>
      <c r="E920" s="1"/>
      <c r="F920" s="2" t="s">
        <v>26</v>
      </c>
      <c r="G920" s="2">
        <v>-30.17</v>
      </c>
      <c r="H920" s="2" t="str">
        <f t="shared" si="34"/>
        <v>W</v>
      </c>
      <c r="I920" s="5">
        <f>23.4/0.9349</f>
        <v>25.029414910685635</v>
      </c>
      <c r="J920" s="5">
        <v>2208.79</v>
      </c>
      <c r="K920" s="5"/>
      <c r="L920" s="5">
        <v>16</v>
      </c>
      <c r="M920" s="2" t="s">
        <v>191</v>
      </c>
      <c r="N920" s="5">
        <v>39.200000000000003</v>
      </c>
      <c r="O920" s="5">
        <v>25.1</v>
      </c>
      <c r="P920" s="5">
        <v>15.07</v>
      </c>
      <c r="Q920" s="2" t="s">
        <v>18</v>
      </c>
      <c r="R920" s="5">
        <v>241.12</v>
      </c>
      <c r="S920" s="5">
        <f>(R920/J920)*100</f>
        <v>10.916384083593279</v>
      </c>
      <c r="T920" s="2" t="s">
        <v>372</v>
      </c>
      <c r="U920" s="40" t="s">
        <v>395</v>
      </c>
      <c r="V920" s="5"/>
      <c r="W920" s="6" t="s">
        <v>2405</v>
      </c>
    </row>
    <row r="921" spans="1:23" x14ac:dyDescent="0.15">
      <c r="A921" s="2" t="s">
        <v>97</v>
      </c>
      <c r="B921" s="2" t="s">
        <v>3932</v>
      </c>
      <c r="C921" s="2" t="s">
        <v>990</v>
      </c>
      <c r="D921" s="2" t="s">
        <v>614</v>
      </c>
      <c r="E921" s="1"/>
      <c r="F921" s="2" t="s">
        <v>610</v>
      </c>
      <c r="G921" s="2">
        <v>29.55</v>
      </c>
      <c r="H921" s="2" t="str">
        <f t="shared" si="34"/>
        <v>W</v>
      </c>
      <c r="I921" s="5">
        <v>18.78</v>
      </c>
      <c r="J921" s="5">
        <f xml:space="preserve"> 0.000053908*(I921*10)^3.1746</f>
        <v>890.69134687912447</v>
      </c>
      <c r="K921" s="5"/>
      <c r="L921" s="5">
        <v>8.0250000000000004</v>
      </c>
      <c r="M921" s="2" t="s">
        <v>191</v>
      </c>
      <c r="N921" s="5"/>
      <c r="O921" s="5"/>
      <c r="P921" s="5"/>
      <c r="R921" s="5"/>
      <c r="S921" s="5"/>
      <c r="T921" s="5" t="s">
        <v>524</v>
      </c>
      <c r="U921" s="40" t="s">
        <v>395</v>
      </c>
      <c r="V921" s="5"/>
      <c r="W921" s="6" t="s">
        <v>2214</v>
      </c>
    </row>
    <row r="922" spans="1:23" x14ac:dyDescent="0.15">
      <c r="A922" s="2" t="s">
        <v>97</v>
      </c>
      <c r="B922" s="2" t="s">
        <v>3932</v>
      </c>
      <c r="C922" s="2" t="s">
        <v>990</v>
      </c>
      <c r="D922" s="2" t="s">
        <v>614</v>
      </c>
      <c r="E922" s="1"/>
      <c r="F922" s="2" t="s">
        <v>193</v>
      </c>
      <c r="G922" s="2">
        <v>33.1</v>
      </c>
      <c r="H922" s="2" t="str">
        <f t="shared" si="34"/>
        <v>W</v>
      </c>
      <c r="I922" s="5">
        <v>21.18</v>
      </c>
      <c r="J922" s="5">
        <f xml:space="preserve"> 0.000053908*(I922*10)^3.1746</f>
        <v>1304.7814053869381</v>
      </c>
      <c r="K922" s="5"/>
      <c r="L922" s="5">
        <f>AVERAGE(9,12,12,18)</f>
        <v>12.75</v>
      </c>
      <c r="M922" s="2" t="s">
        <v>191</v>
      </c>
      <c r="N922" s="5"/>
      <c r="O922" s="5">
        <v>23.7</v>
      </c>
      <c r="P922" s="5">
        <v>12.147</v>
      </c>
      <c r="Q922" s="2" t="s">
        <v>376</v>
      </c>
      <c r="R922" s="5">
        <f>P922*L922</f>
        <v>154.87424999999999</v>
      </c>
      <c r="S922" s="5">
        <f>(R922/J922)*100</f>
        <v>11.869746867987548</v>
      </c>
      <c r="V922" s="5"/>
      <c r="W922" s="6" t="s">
        <v>1792</v>
      </c>
    </row>
    <row r="923" spans="1:23" x14ac:dyDescent="0.15">
      <c r="A923" s="2" t="s">
        <v>97</v>
      </c>
      <c r="B923" s="2" t="s">
        <v>3932</v>
      </c>
      <c r="C923" s="2" t="s">
        <v>990</v>
      </c>
      <c r="D923" s="2" t="s">
        <v>614</v>
      </c>
      <c r="E923" s="1"/>
      <c r="F923" s="2" t="s">
        <v>232</v>
      </c>
      <c r="G923" s="2">
        <v>33.799999999999997</v>
      </c>
      <c r="H923" s="2" t="str">
        <f t="shared" si="34"/>
        <v>W</v>
      </c>
      <c r="I923" s="5">
        <v>25</v>
      </c>
      <c r="J923" s="5">
        <v>2150</v>
      </c>
      <c r="K923" s="5"/>
      <c r="L923" s="5">
        <v>19</v>
      </c>
      <c r="M923" s="2" t="s">
        <v>191</v>
      </c>
      <c r="N923" s="5">
        <v>38</v>
      </c>
      <c r="O923" s="5"/>
      <c r="P923" s="5">
        <f xml:space="preserve"> (0.4054*N923) - 4.2957</f>
        <v>11.109499999999999</v>
      </c>
      <c r="Q923" s="2" t="s">
        <v>376</v>
      </c>
      <c r="R923" s="5">
        <f>P923*L923</f>
        <v>211.08049999999997</v>
      </c>
      <c r="S923" s="5">
        <f>(R923/J923)*100</f>
        <v>9.8176976744186035</v>
      </c>
      <c r="T923" s="5"/>
      <c r="U923" s="5"/>
      <c r="V923" s="5"/>
      <c r="W923" s="6" t="s">
        <v>2406</v>
      </c>
    </row>
    <row r="924" spans="1:23" x14ac:dyDescent="0.15">
      <c r="A924" s="2" t="s">
        <v>97</v>
      </c>
      <c r="B924" s="2" t="s">
        <v>3932</v>
      </c>
      <c r="C924" s="2" t="s">
        <v>990</v>
      </c>
      <c r="D924" s="2" t="s">
        <v>614</v>
      </c>
      <c r="E924" s="1"/>
      <c r="F924" s="2" t="s">
        <v>232</v>
      </c>
      <c r="G924" s="2">
        <v>33.31</v>
      </c>
      <c r="H924" s="2" t="str">
        <f t="shared" ref="H924:H927" si="35">IF(G924="captive","C","W")</f>
        <v>W</v>
      </c>
      <c r="I924" s="5">
        <v>22.4</v>
      </c>
      <c r="J924" s="5">
        <f xml:space="preserve"> 0.000053908*(I924*10)^3.1746</f>
        <v>1558.6570875014154</v>
      </c>
      <c r="K924" s="5"/>
      <c r="L924" s="5">
        <v>15</v>
      </c>
      <c r="M924" s="2" t="s">
        <v>191</v>
      </c>
      <c r="N924" s="5">
        <v>37.299999999999997</v>
      </c>
      <c r="O924" s="5">
        <v>22.8</v>
      </c>
      <c r="P924" s="5">
        <f xml:space="preserve"> 0.267*N924 + 0.656*O924 - 14.01</f>
        <v>10.905900000000001</v>
      </c>
      <c r="Q924" s="2" t="s">
        <v>376</v>
      </c>
      <c r="R924" s="5">
        <v>169.95</v>
      </c>
      <c r="S924" s="5">
        <v>10.9</v>
      </c>
      <c r="T924" s="2">
        <v>3</v>
      </c>
      <c r="U924" s="2" t="str">
        <f>IF(T924&lt;=1, "1",IF(AND(T924&gt;1,T924&lt;4), "2-3", "+4"))</f>
        <v>2-3</v>
      </c>
      <c r="V924" s="5">
        <f>S924*T924</f>
        <v>32.700000000000003</v>
      </c>
      <c r="W924" s="6" t="s">
        <v>3224</v>
      </c>
    </row>
    <row r="925" spans="1:23" ht="12.75" customHeight="1" x14ac:dyDescent="0.15">
      <c r="A925" s="2" t="s">
        <v>97</v>
      </c>
      <c r="B925" s="2" t="s">
        <v>3932</v>
      </c>
      <c r="C925" s="2" t="s">
        <v>990</v>
      </c>
      <c r="D925" s="2" t="s">
        <v>614</v>
      </c>
      <c r="E925" s="1"/>
      <c r="F925" s="2" t="s">
        <v>232</v>
      </c>
      <c r="G925" s="2">
        <v>33.799999999999997</v>
      </c>
      <c r="H925" s="2" t="str">
        <f t="shared" si="35"/>
        <v>W</v>
      </c>
      <c r="I925" s="5">
        <v>24.22</v>
      </c>
      <c r="J925" s="5">
        <v>1890</v>
      </c>
      <c r="K925" s="5"/>
      <c r="L925" s="5">
        <v>15.4</v>
      </c>
      <c r="M925" s="2" t="s">
        <v>191</v>
      </c>
      <c r="N925" s="5">
        <v>35</v>
      </c>
      <c r="O925" s="5">
        <v>22.5</v>
      </c>
      <c r="P925" s="5">
        <v>10.7</v>
      </c>
      <c r="Q925" s="2" t="s">
        <v>18</v>
      </c>
      <c r="R925" s="5">
        <v>164.78</v>
      </c>
      <c r="S925" s="5">
        <v>8.7200000000000006</v>
      </c>
      <c r="T925" s="5"/>
      <c r="U925" s="5"/>
      <c r="V925" s="5"/>
      <c r="W925" s="6" t="s">
        <v>2407</v>
      </c>
    </row>
    <row r="926" spans="1:23" ht="12.75" customHeight="1" x14ac:dyDescent="0.15">
      <c r="A926" s="2" t="s">
        <v>97</v>
      </c>
      <c r="B926" s="2" t="s">
        <v>3932</v>
      </c>
      <c r="C926" s="2" t="s">
        <v>990</v>
      </c>
      <c r="D926" s="2" t="s">
        <v>615</v>
      </c>
      <c r="E926" s="1" t="s">
        <v>3490</v>
      </c>
      <c r="F926" s="2" t="s">
        <v>374</v>
      </c>
      <c r="G926" s="2" t="s">
        <v>374</v>
      </c>
      <c r="H926" s="2" t="str">
        <f t="shared" si="35"/>
        <v>C</v>
      </c>
      <c r="I926" s="5">
        <v>31</v>
      </c>
      <c r="J926" s="5">
        <v>4780</v>
      </c>
      <c r="K926" s="5"/>
      <c r="L926" s="5">
        <v>23.1</v>
      </c>
      <c r="M926" s="2" t="s">
        <v>191</v>
      </c>
      <c r="N926" s="5">
        <f>MEDIAN(38,40)</f>
        <v>39</v>
      </c>
      <c r="O926" s="5">
        <f>MEDIAN(22,25)</f>
        <v>23.5</v>
      </c>
      <c r="P926" s="7">
        <f>MEDIAN(10.945,13.922)</f>
        <v>12.4335</v>
      </c>
      <c r="Q926" s="2" t="s">
        <v>376</v>
      </c>
      <c r="R926" s="7">
        <f>P926*L926</f>
        <v>287.21385000000004</v>
      </c>
      <c r="S926" s="5">
        <f>(R926/J926)*100</f>
        <v>6.0086579497907957</v>
      </c>
      <c r="T926" s="2" t="s">
        <v>416</v>
      </c>
      <c r="U926" s="40" t="s">
        <v>4047</v>
      </c>
      <c r="V926" s="5"/>
      <c r="W926" s="6" t="s">
        <v>2408</v>
      </c>
    </row>
    <row r="927" spans="1:23" ht="12.75" customHeight="1" x14ac:dyDescent="0.15">
      <c r="A927" s="2" t="s">
        <v>97</v>
      </c>
      <c r="B927" s="2" t="s">
        <v>3932</v>
      </c>
      <c r="C927" s="2" t="s">
        <v>990</v>
      </c>
      <c r="D927" s="2" t="s">
        <v>615</v>
      </c>
      <c r="E927" s="1" t="s">
        <v>3719</v>
      </c>
      <c r="F927" s="2" t="s">
        <v>616</v>
      </c>
      <c r="G927" s="2">
        <v>15.87</v>
      </c>
      <c r="H927" s="2" t="str">
        <f t="shared" si="35"/>
        <v>W</v>
      </c>
      <c r="I927" s="5">
        <v>32</v>
      </c>
      <c r="J927" s="5">
        <f xml:space="preserve"> 0.000053908*(I927*10)^3.1746</f>
        <v>4836.178710209686</v>
      </c>
      <c r="K927" s="5"/>
      <c r="L927" s="5">
        <v>15</v>
      </c>
      <c r="M927" s="2" t="s">
        <v>191</v>
      </c>
      <c r="N927" s="5">
        <v>44.2</v>
      </c>
      <c r="O927" s="5">
        <v>28.1</v>
      </c>
      <c r="P927" s="5">
        <f xml:space="preserve"> (0.329*N927) + (0.773*O927) - 18.563</f>
        <v>17.70010000000001</v>
      </c>
      <c r="Q927" s="2" t="s">
        <v>376</v>
      </c>
      <c r="R927" s="5">
        <f>P927*L927</f>
        <v>265.50150000000014</v>
      </c>
      <c r="S927" s="5">
        <f>(R927/J927)*100</f>
        <v>5.4899025844412721</v>
      </c>
      <c r="T927" s="7">
        <f>MEDIAN(3,4)</f>
        <v>3.5</v>
      </c>
      <c r="U927" s="2" t="str">
        <f>IF(T927&lt;=1, "1",IF(AND(T927&gt;1,T927&lt;4), "2-3", "+4"))</f>
        <v>2-3</v>
      </c>
      <c r="V927" s="5">
        <f>S927*T927</f>
        <v>19.214659045544451</v>
      </c>
      <c r="W927" s="6" t="s">
        <v>2213</v>
      </c>
    </row>
    <row r="928" spans="1:23" x14ac:dyDescent="0.15">
      <c r="A928" s="2" t="s">
        <v>97</v>
      </c>
      <c r="B928" s="2" t="s">
        <v>3932</v>
      </c>
      <c r="C928" s="2" t="s">
        <v>990</v>
      </c>
      <c r="D928" s="2" t="s">
        <v>4023</v>
      </c>
      <c r="E928" s="1"/>
      <c r="F928" s="2" t="s">
        <v>3540</v>
      </c>
      <c r="G928" s="2">
        <v>25.6</v>
      </c>
      <c r="H928" s="2" t="s">
        <v>3887</v>
      </c>
      <c r="I928" s="5">
        <v>18.399999999999999</v>
      </c>
      <c r="J928" s="5">
        <v>835</v>
      </c>
      <c r="K928" s="5"/>
      <c r="L928" s="5"/>
      <c r="M928" s="2" t="s">
        <v>191</v>
      </c>
      <c r="N928" s="5"/>
      <c r="O928" s="5"/>
      <c r="P928" s="5"/>
      <c r="R928" s="5"/>
      <c r="S928" s="5"/>
      <c r="T928" s="7" t="s">
        <v>395</v>
      </c>
      <c r="U928" s="7" t="s">
        <v>395</v>
      </c>
      <c r="W928" s="6" t="s">
        <v>2213</v>
      </c>
    </row>
    <row r="929" spans="1:23" x14ac:dyDescent="0.15">
      <c r="A929" s="2" t="s">
        <v>97</v>
      </c>
      <c r="B929" s="2" t="s">
        <v>3932</v>
      </c>
      <c r="C929" s="2" t="s">
        <v>990</v>
      </c>
      <c r="D929" s="2" t="s">
        <v>1238</v>
      </c>
      <c r="E929" s="1"/>
      <c r="F929" s="2" t="s">
        <v>29</v>
      </c>
      <c r="H929" s="2" t="s">
        <v>3887</v>
      </c>
      <c r="I929" s="5"/>
      <c r="J929" s="5"/>
      <c r="K929" s="5"/>
      <c r="L929" s="5"/>
      <c r="M929" s="2" t="s">
        <v>191</v>
      </c>
      <c r="N929" s="5"/>
      <c r="O929" s="5"/>
      <c r="P929" s="5"/>
      <c r="R929" s="5"/>
      <c r="S929" s="5"/>
      <c r="T929" s="7"/>
      <c r="U929" s="7"/>
      <c r="W929" s="6" t="s">
        <v>838</v>
      </c>
    </row>
    <row r="930" spans="1:23" x14ac:dyDescent="0.15">
      <c r="A930" s="2" t="s">
        <v>97</v>
      </c>
      <c r="B930" s="2" t="s">
        <v>3932</v>
      </c>
      <c r="C930" s="2" t="s">
        <v>990</v>
      </c>
      <c r="D930" s="2" t="s">
        <v>721</v>
      </c>
      <c r="E930" s="1" t="s">
        <v>3720</v>
      </c>
      <c r="F930" s="2" t="s">
        <v>29</v>
      </c>
      <c r="H930" s="2" t="s">
        <v>3887</v>
      </c>
      <c r="I930" s="5"/>
      <c r="J930" s="5"/>
      <c r="K930" s="5"/>
      <c r="L930" s="5"/>
      <c r="M930" s="2" t="s">
        <v>191</v>
      </c>
      <c r="N930" s="5"/>
      <c r="O930" s="5"/>
      <c r="P930" s="5"/>
      <c r="R930" s="5"/>
      <c r="S930" s="5"/>
      <c r="W930" s="6" t="s">
        <v>838</v>
      </c>
    </row>
    <row r="931" spans="1:23" x14ac:dyDescent="0.15">
      <c r="A931" s="2" t="s">
        <v>97</v>
      </c>
      <c r="B931" s="2" t="s">
        <v>3932</v>
      </c>
      <c r="C931" s="2" t="s">
        <v>990</v>
      </c>
      <c r="D931" s="2" t="s">
        <v>617</v>
      </c>
      <c r="E931" s="1" t="s">
        <v>997</v>
      </c>
      <c r="F931" s="2" t="s">
        <v>618</v>
      </c>
      <c r="G931" s="2">
        <v>24.32</v>
      </c>
      <c r="H931" s="2" t="str">
        <f t="shared" ref="H931:H936" si="36">IF(G931="captive","C","W")</f>
        <v>W</v>
      </c>
      <c r="I931" s="5">
        <v>33.799999999999997</v>
      </c>
      <c r="J931" s="5">
        <v>5900</v>
      </c>
      <c r="K931" s="5"/>
      <c r="L931" s="5">
        <v>20</v>
      </c>
      <c r="M931" s="2" t="s">
        <v>191</v>
      </c>
      <c r="N931" s="5"/>
      <c r="O931" s="5"/>
      <c r="P931" s="5"/>
      <c r="R931" s="5"/>
      <c r="S931" s="5"/>
      <c r="T931" s="7">
        <f>MEDIAN(3,4)</f>
        <v>3.5</v>
      </c>
      <c r="U931" s="2" t="str">
        <f>IF(T931&lt;=1, "1",IF(AND(T931&gt;1,T931&lt;4), "2-3", "+4"))</f>
        <v>2-3</v>
      </c>
      <c r="W931" s="6" t="s">
        <v>2213</v>
      </c>
    </row>
    <row r="932" spans="1:23" x14ac:dyDescent="0.15">
      <c r="A932" s="4" t="s">
        <v>97</v>
      </c>
      <c r="B932" s="2" t="s">
        <v>3932</v>
      </c>
      <c r="C932" s="2" t="s">
        <v>990</v>
      </c>
      <c r="D932" s="2" t="s">
        <v>896</v>
      </c>
      <c r="E932" s="1" t="s">
        <v>3491</v>
      </c>
      <c r="F932" s="4" t="s">
        <v>180</v>
      </c>
      <c r="G932" s="4">
        <v>30.52</v>
      </c>
      <c r="H932" s="2" t="str">
        <f t="shared" si="36"/>
        <v>W</v>
      </c>
      <c r="I932" s="5">
        <v>21.7</v>
      </c>
      <c r="J932" s="5">
        <f xml:space="preserve"> 0.0958*I932^3.213</f>
        <v>1885.430958839403</v>
      </c>
      <c r="K932" s="5"/>
      <c r="L932" s="5">
        <v>6.6</v>
      </c>
      <c r="M932" s="2" t="s">
        <v>191</v>
      </c>
      <c r="N932" s="33"/>
      <c r="O932" s="33"/>
      <c r="P932" s="33"/>
      <c r="Q932" s="4"/>
      <c r="R932" s="33"/>
      <c r="S932" s="33"/>
      <c r="T932" s="4">
        <v>1</v>
      </c>
      <c r="U932" s="2" t="str">
        <f>IF(T932&lt;=1, "1",IF(AND(T932&gt;1,T932&lt;4), "2-3", "+4"))</f>
        <v>1</v>
      </c>
      <c r="V932" s="4"/>
      <c r="W932" s="10" t="s">
        <v>1811</v>
      </c>
    </row>
    <row r="933" spans="1:23" x14ac:dyDescent="0.15">
      <c r="A933" s="2" t="s">
        <v>97</v>
      </c>
      <c r="B933" s="2" t="s">
        <v>3932</v>
      </c>
      <c r="C933" s="2" t="s">
        <v>990</v>
      </c>
      <c r="D933" s="2" t="s">
        <v>896</v>
      </c>
      <c r="E933" s="1" t="s">
        <v>1021</v>
      </c>
      <c r="F933" s="2" t="s">
        <v>2234</v>
      </c>
      <c r="G933" s="2">
        <v>42</v>
      </c>
      <c r="H933" s="2" t="str">
        <f t="shared" si="36"/>
        <v>W</v>
      </c>
      <c r="I933" s="5">
        <v>25.5</v>
      </c>
      <c r="J933" s="5">
        <v>2390</v>
      </c>
      <c r="K933" s="5"/>
      <c r="L933" s="5">
        <v>28</v>
      </c>
      <c r="M933" s="2" t="s">
        <v>191</v>
      </c>
      <c r="N933" s="5"/>
      <c r="O933" s="5"/>
      <c r="P933" s="5"/>
      <c r="R933" s="5"/>
      <c r="S933" s="5"/>
      <c r="W933" s="6" t="s">
        <v>2414</v>
      </c>
    </row>
    <row r="934" spans="1:23" x14ac:dyDescent="0.15">
      <c r="A934" s="2" t="s">
        <v>97</v>
      </c>
      <c r="B934" s="2" t="s">
        <v>3932</v>
      </c>
      <c r="C934" s="2" t="s">
        <v>990</v>
      </c>
      <c r="D934" s="2" t="s">
        <v>896</v>
      </c>
      <c r="E934" s="1" t="s">
        <v>3491</v>
      </c>
      <c r="F934" s="2" t="s">
        <v>523</v>
      </c>
      <c r="G934" s="2">
        <v>36.36</v>
      </c>
      <c r="H934" s="2" t="str">
        <f t="shared" si="36"/>
        <v>W</v>
      </c>
      <c r="I934" s="5"/>
      <c r="J934" s="5"/>
      <c r="K934" s="5"/>
      <c r="L934" s="5">
        <v>10.5</v>
      </c>
      <c r="M934" s="2" t="s">
        <v>191</v>
      </c>
      <c r="N934" s="5">
        <v>42.29</v>
      </c>
      <c r="O934" s="5">
        <v>21.86</v>
      </c>
      <c r="P934" s="5">
        <v>12.25</v>
      </c>
      <c r="Q934" s="2" t="s">
        <v>376</v>
      </c>
      <c r="R934" s="5">
        <v>128.61000000000001</v>
      </c>
      <c r="S934" s="5"/>
      <c r="W934" s="6" t="s">
        <v>3042</v>
      </c>
    </row>
    <row r="935" spans="1:23" x14ac:dyDescent="0.15">
      <c r="A935" s="2" t="s">
        <v>97</v>
      </c>
      <c r="B935" s="2" t="s">
        <v>3932</v>
      </c>
      <c r="C935" s="2" t="s">
        <v>990</v>
      </c>
      <c r="D935" s="2" t="s">
        <v>896</v>
      </c>
      <c r="E935" s="1" t="s">
        <v>1021</v>
      </c>
      <c r="F935" s="2" t="s">
        <v>330</v>
      </c>
      <c r="G935" s="2">
        <v>31.5</v>
      </c>
      <c r="H935" s="2" t="str">
        <f t="shared" si="36"/>
        <v>W</v>
      </c>
      <c r="I935" s="5">
        <v>19.100000000000001</v>
      </c>
      <c r="J935" s="5">
        <v>961</v>
      </c>
      <c r="K935" s="5"/>
      <c r="L935" s="5">
        <v>7.6</v>
      </c>
      <c r="M935" s="2" t="s">
        <v>191</v>
      </c>
      <c r="N935" s="5">
        <v>37.700000000000003</v>
      </c>
      <c r="O935" s="5">
        <v>22.6</v>
      </c>
      <c r="P935" s="5">
        <v>11.1</v>
      </c>
      <c r="Q935" s="2" t="s">
        <v>376</v>
      </c>
      <c r="R935" s="5">
        <v>84.36</v>
      </c>
      <c r="S935" s="5">
        <v>8.7799999999999994</v>
      </c>
      <c r="W935" s="6" t="s">
        <v>5439</v>
      </c>
    </row>
    <row r="936" spans="1:23" x14ac:dyDescent="0.15">
      <c r="A936" s="2" t="s">
        <v>97</v>
      </c>
      <c r="B936" s="2" t="s">
        <v>3932</v>
      </c>
      <c r="C936" s="2" t="s">
        <v>990</v>
      </c>
      <c r="D936" s="2" t="s">
        <v>896</v>
      </c>
      <c r="E936" s="1" t="s">
        <v>1021</v>
      </c>
      <c r="F936" s="2" t="s">
        <v>523</v>
      </c>
      <c r="G936" s="2">
        <v>36.36</v>
      </c>
      <c r="H936" s="2" t="str">
        <f t="shared" si="36"/>
        <v>W</v>
      </c>
      <c r="I936" s="5"/>
      <c r="J936" s="5"/>
      <c r="K936" s="5"/>
      <c r="L936" s="5">
        <v>13</v>
      </c>
      <c r="M936" s="2" t="s">
        <v>191</v>
      </c>
      <c r="N936" s="5"/>
      <c r="O936" s="5"/>
      <c r="P936" s="5"/>
      <c r="R936" s="5"/>
      <c r="S936" s="5"/>
      <c r="W936" s="6" t="s">
        <v>3332</v>
      </c>
    </row>
    <row r="937" spans="1:23" x14ac:dyDescent="0.15">
      <c r="A937" s="1" t="s">
        <v>97</v>
      </c>
      <c r="B937" s="2" t="s">
        <v>3932</v>
      </c>
      <c r="C937" s="1" t="s">
        <v>990</v>
      </c>
      <c r="D937" s="1" t="s">
        <v>896</v>
      </c>
      <c r="E937" s="1" t="s">
        <v>3491</v>
      </c>
      <c r="F937" s="1" t="s">
        <v>523</v>
      </c>
      <c r="G937" s="1">
        <v>36.35</v>
      </c>
      <c r="H937" s="1" t="s">
        <v>3887</v>
      </c>
      <c r="I937" s="8">
        <v>22.34</v>
      </c>
      <c r="J937" s="8">
        <v>1545.88</v>
      </c>
      <c r="K937" s="8">
        <v>7</v>
      </c>
      <c r="L937" s="8">
        <v>12.21</v>
      </c>
      <c r="M937" s="8" t="s">
        <v>191</v>
      </c>
      <c r="N937" s="8">
        <v>34.08</v>
      </c>
      <c r="O937" s="8">
        <v>21.19</v>
      </c>
      <c r="P937" s="8">
        <v>8.9130000000000003</v>
      </c>
      <c r="Q937" s="1" t="s">
        <v>18</v>
      </c>
      <c r="R937" s="8">
        <v>108.79</v>
      </c>
      <c r="S937" s="8">
        <v>7.0369999999999999</v>
      </c>
      <c r="T937" s="1"/>
      <c r="U937" s="1"/>
      <c r="V937" s="1"/>
      <c r="W937" s="6" t="s">
        <v>3903</v>
      </c>
    </row>
    <row r="938" spans="1:23" x14ac:dyDescent="0.15">
      <c r="A938" s="2" t="s">
        <v>97</v>
      </c>
      <c r="B938" s="2" t="s">
        <v>3932</v>
      </c>
      <c r="C938" s="2" t="s">
        <v>990</v>
      </c>
      <c r="D938" s="2" t="s">
        <v>896</v>
      </c>
      <c r="E938" s="1" t="s">
        <v>3491</v>
      </c>
      <c r="F938" s="2" t="s">
        <v>902</v>
      </c>
      <c r="G938" s="2">
        <v>33.33</v>
      </c>
      <c r="H938" s="2" t="str">
        <f t="shared" ref="H938:H1002" si="37">IF(G938="captive","C","W")</f>
        <v>W</v>
      </c>
      <c r="I938" s="5">
        <v>18.846153846153847</v>
      </c>
      <c r="J938" s="5">
        <f t="shared" ref="J938:J944" si="38" xml:space="preserve"> 0.0958*I938^3.213</f>
        <v>1198.5499749881189</v>
      </c>
      <c r="K938" s="5"/>
      <c r="L938" s="5">
        <v>5.27</v>
      </c>
      <c r="M938" s="2" t="s">
        <v>191</v>
      </c>
      <c r="N938" s="5">
        <v>36.5</v>
      </c>
      <c r="O938" s="5">
        <v>21.1</v>
      </c>
      <c r="P938" s="5">
        <v>9.6999999999999993</v>
      </c>
      <c r="Q938" s="2" t="s">
        <v>18</v>
      </c>
      <c r="R938" s="5">
        <v>50.47</v>
      </c>
      <c r="S938" s="5">
        <f t="shared" ref="S938:S943" si="39">(R938/J938)*100</f>
        <v>4.2109216180577125</v>
      </c>
      <c r="W938" s="6" t="s">
        <v>1982</v>
      </c>
    </row>
    <row r="939" spans="1:23" x14ac:dyDescent="0.15">
      <c r="A939" s="2" t="s">
        <v>97</v>
      </c>
      <c r="B939" s="2" t="s">
        <v>3932</v>
      </c>
      <c r="C939" s="2" t="s">
        <v>990</v>
      </c>
      <c r="D939" s="2" t="s">
        <v>896</v>
      </c>
      <c r="E939" s="1" t="s">
        <v>3491</v>
      </c>
      <c r="F939" s="2" t="s">
        <v>900</v>
      </c>
      <c r="G939" s="2">
        <v>33.53</v>
      </c>
      <c r="H939" s="2" t="str">
        <f t="shared" si="37"/>
        <v>W</v>
      </c>
      <c r="I939" s="5">
        <v>20.619658119658119</v>
      </c>
      <c r="J939" s="5">
        <f t="shared" si="38"/>
        <v>1600.1173745057297</v>
      </c>
      <c r="K939" s="5"/>
      <c r="L939" s="5">
        <v>5.86</v>
      </c>
      <c r="M939" s="2" t="s">
        <v>191</v>
      </c>
      <c r="N939" s="5">
        <v>36.700000000000003</v>
      </c>
      <c r="O939" s="5">
        <v>21.4</v>
      </c>
      <c r="P939" s="5">
        <v>9.86</v>
      </c>
      <c r="Q939" s="2" t="s">
        <v>18</v>
      </c>
      <c r="R939" s="5">
        <v>56.63</v>
      </c>
      <c r="S939" s="5">
        <f t="shared" si="39"/>
        <v>3.5391153738014247</v>
      </c>
      <c r="W939" s="6" t="s">
        <v>1982</v>
      </c>
    </row>
    <row r="940" spans="1:23" x14ac:dyDescent="0.15">
      <c r="A940" s="2" t="s">
        <v>97</v>
      </c>
      <c r="B940" s="2" t="s">
        <v>3932</v>
      </c>
      <c r="C940" s="2" t="s">
        <v>990</v>
      </c>
      <c r="D940" s="2" t="s">
        <v>896</v>
      </c>
      <c r="E940" s="1" t="s">
        <v>3491</v>
      </c>
      <c r="F940" s="2" t="s">
        <v>899</v>
      </c>
      <c r="G940" s="2">
        <v>33.18</v>
      </c>
      <c r="H940" s="2" t="str">
        <f t="shared" si="37"/>
        <v>W</v>
      </c>
      <c r="I940" s="5">
        <v>22.297008547008545</v>
      </c>
      <c r="J940" s="5">
        <f t="shared" si="38"/>
        <v>2057.2252016779221</v>
      </c>
      <c r="K940" s="5"/>
      <c r="L940" s="5">
        <v>7.4</v>
      </c>
      <c r="M940" s="2" t="s">
        <v>191</v>
      </c>
      <c r="N940" s="5">
        <v>36</v>
      </c>
      <c r="O940" s="5">
        <v>21.9</v>
      </c>
      <c r="P940" s="5">
        <v>10.01</v>
      </c>
      <c r="Q940" s="2" t="s">
        <v>18</v>
      </c>
      <c r="R940" s="5">
        <v>71.95</v>
      </c>
      <c r="S940" s="5">
        <f t="shared" si="39"/>
        <v>3.497429447263035</v>
      </c>
      <c r="W940" s="6" t="s">
        <v>1982</v>
      </c>
    </row>
    <row r="941" spans="1:23" x14ac:dyDescent="0.15">
      <c r="A941" s="2" t="s">
        <v>97</v>
      </c>
      <c r="B941" s="2" t="s">
        <v>3932</v>
      </c>
      <c r="C941" s="2" t="s">
        <v>990</v>
      </c>
      <c r="D941" s="2" t="s">
        <v>896</v>
      </c>
      <c r="E941" s="1" t="s">
        <v>3491</v>
      </c>
      <c r="F941" s="2" t="s">
        <v>901</v>
      </c>
      <c r="G941" s="2">
        <v>33.119999999999997</v>
      </c>
      <c r="H941" s="2" t="str">
        <f t="shared" si="37"/>
        <v>W</v>
      </c>
      <c r="I941" s="5">
        <v>24.572649572649571</v>
      </c>
      <c r="J941" s="5">
        <f t="shared" si="38"/>
        <v>2811.1741083749321</v>
      </c>
      <c r="K941" s="5"/>
      <c r="L941" s="5">
        <v>8.8000000000000007</v>
      </c>
      <c r="M941" s="2" t="s">
        <v>191</v>
      </c>
      <c r="N941" s="5">
        <v>35.4</v>
      </c>
      <c r="O941" s="5">
        <v>22.3</v>
      </c>
      <c r="P941" s="5">
        <v>10.24</v>
      </c>
      <c r="Q941" s="2" t="s">
        <v>18</v>
      </c>
      <c r="R941" s="5">
        <v>90.02</v>
      </c>
      <c r="S941" s="5">
        <f t="shared" si="39"/>
        <v>3.2022207280515351</v>
      </c>
      <c r="W941" s="6" t="s">
        <v>1982</v>
      </c>
    </row>
    <row r="942" spans="1:23" x14ac:dyDescent="0.15">
      <c r="A942" s="2" t="s">
        <v>97</v>
      </c>
      <c r="B942" s="2" t="s">
        <v>3932</v>
      </c>
      <c r="C942" s="2" t="s">
        <v>990</v>
      </c>
      <c r="D942" s="2" t="s">
        <v>896</v>
      </c>
      <c r="E942" s="1" t="s">
        <v>3491</v>
      </c>
      <c r="F942" s="2" t="s">
        <v>897</v>
      </c>
      <c r="G942" s="2">
        <v>33.24</v>
      </c>
      <c r="H942" s="2" t="str">
        <f t="shared" si="37"/>
        <v>W</v>
      </c>
      <c r="I942" s="5">
        <v>25.854700854700852</v>
      </c>
      <c r="J942" s="5">
        <f t="shared" si="38"/>
        <v>3310.2056680169667</v>
      </c>
      <c r="K942" s="5"/>
      <c r="L942" s="5">
        <v>9.49</v>
      </c>
      <c r="M942" s="2" t="s">
        <v>191</v>
      </c>
      <c r="N942" s="5">
        <v>36.5</v>
      </c>
      <c r="O942" s="5">
        <v>23.2</v>
      </c>
      <c r="P942" s="5">
        <v>11.58</v>
      </c>
      <c r="Q942" s="2" t="s">
        <v>18</v>
      </c>
      <c r="R942" s="5">
        <f>P942*L942</f>
        <v>109.8942</v>
      </c>
      <c r="S942" s="5">
        <f t="shared" si="39"/>
        <v>3.3198601845737863</v>
      </c>
      <c r="W942" s="6" t="s">
        <v>1982</v>
      </c>
    </row>
    <row r="943" spans="1:23" x14ac:dyDescent="0.15">
      <c r="A943" s="2" t="s">
        <v>97</v>
      </c>
      <c r="B943" s="2" t="s">
        <v>3932</v>
      </c>
      <c r="C943" s="2" t="s">
        <v>990</v>
      </c>
      <c r="D943" s="2" t="s">
        <v>896</v>
      </c>
      <c r="E943" s="1" t="s">
        <v>3491</v>
      </c>
      <c r="F943" s="2" t="s">
        <v>898</v>
      </c>
      <c r="G943" s="2">
        <v>32.61</v>
      </c>
      <c r="H943" s="2" t="str">
        <f t="shared" si="37"/>
        <v>W</v>
      </c>
      <c r="I943" s="5">
        <v>28.205128205128201</v>
      </c>
      <c r="J943" s="5">
        <f t="shared" si="38"/>
        <v>4377.9381742251917</v>
      </c>
      <c r="K943" s="5"/>
      <c r="L943" s="5">
        <v>11.1</v>
      </c>
      <c r="M943" s="2" t="s">
        <v>191</v>
      </c>
      <c r="N943" s="5">
        <v>36.5</v>
      </c>
      <c r="O943" s="5">
        <v>23.6</v>
      </c>
      <c r="P943" s="5">
        <v>11.8</v>
      </c>
      <c r="Q943" s="2" t="s">
        <v>18</v>
      </c>
      <c r="R943" s="5">
        <v>131.51</v>
      </c>
      <c r="S943" s="5">
        <f t="shared" si="39"/>
        <v>3.0039254728231666</v>
      </c>
      <c r="W943" s="6" t="s">
        <v>1982</v>
      </c>
    </row>
    <row r="944" spans="1:23" x14ac:dyDescent="0.15">
      <c r="A944" s="2" t="s">
        <v>97</v>
      </c>
      <c r="B944" s="2" t="s">
        <v>3932</v>
      </c>
      <c r="C944" s="2" t="s">
        <v>990</v>
      </c>
      <c r="D944" s="2" t="s">
        <v>896</v>
      </c>
      <c r="E944" s="1" t="s">
        <v>3491</v>
      </c>
      <c r="F944" s="2" t="s">
        <v>352</v>
      </c>
      <c r="G944" s="2">
        <v>31.18</v>
      </c>
      <c r="H944" s="2" t="str">
        <f t="shared" si="37"/>
        <v>W</v>
      </c>
      <c r="I944" s="5">
        <v>20.76923076923077</v>
      </c>
      <c r="J944" s="5">
        <f t="shared" si="38"/>
        <v>1637.7110991836901</v>
      </c>
      <c r="K944" s="5"/>
      <c r="L944" s="5"/>
      <c r="M944" s="2" t="s">
        <v>191</v>
      </c>
      <c r="N944" s="5">
        <v>36</v>
      </c>
      <c r="O944" s="5">
        <v>21.3</v>
      </c>
      <c r="P944" s="5">
        <v>9.64</v>
      </c>
      <c r="Q944" s="2" t="s">
        <v>18</v>
      </c>
      <c r="R944" s="5"/>
      <c r="S944" s="5"/>
      <c r="W944" s="6" t="s">
        <v>1982</v>
      </c>
    </row>
    <row r="945" spans="1:24" x14ac:dyDescent="0.15">
      <c r="A945" s="4" t="s">
        <v>97</v>
      </c>
      <c r="B945" s="2" t="s">
        <v>3932</v>
      </c>
      <c r="C945" s="4" t="s">
        <v>990</v>
      </c>
      <c r="D945" s="2" t="s">
        <v>896</v>
      </c>
      <c r="E945" s="1" t="s">
        <v>1021</v>
      </c>
      <c r="F945" s="2" t="s">
        <v>194</v>
      </c>
      <c r="G945" s="2">
        <v>38</v>
      </c>
      <c r="H945" s="2" t="str">
        <f t="shared" si="37"/>
        <v>W</v>
      </c>
      <c r="I945" s="5"/>
      <c r="J945" s="5"/>
      <c r="K945" s="5"/>
      <c r="L945" s="5">
        <v>4.3</v>
      </c>
      <c r="M945" s="2" t="s">
        <v>191</v>
      </c>
      <c r="N945" s="5"/>
      <c r="O945" s="5"/>
      <c r="P945" s="5"/>
      <c r="R945" s="5"/>
      <c r="S945" s="5"/>
      <c r="W945" s="6" t="s">
        <v>1992</v>
      </c>
    </row>
    <row r="946" spans="1:24" x14ac:dyDescent="0.15">
      <c r="A946" s="2" t="s">
        <v>97</v>
      </c>
      <c r="B946" s="2" t="s">
        <v>3932</v>
      </c>
      <c r="C946" s="2" t="s">
        <v>990</v>
      </c>
      <c r="D946" s="2" t="s">
        <v>896</v>
      </c>
      <c r="E946" s="1" t="s">
        <v>1021</v>
      </c>
      <c r="F946" s="2" t="s">
        <v>2234</v>
      </c>
      <c r="G946" s="2">
        <v>39.25</v>
      </c>
      <c r="H946" s="2" t="str">
        <f t="shared" si="37"/>
        <v>W</v>
      </c>
      <c r="I946" s="5">
        <v>20.585000000000001</v>
      </c>
      <c r="J946" s="5">
        <f xml:space="preserve"> 0.00052*(I946*10)^2.7474</f>
        <v>1181.0084570085824</v>
      </c>
      <c r="K946" s="5"/>
      <c r="L946" s="5">
        <v>11.67</v>
      </c>
      <c r="M946" s="2" t="s">
        <v>191</v>
      </c>
      <c r="N946" s="5"/>
      <c r="O946" s="5"/>
      <c r="P946" s="5"/>
      <c r="R946" s="5"/>
      <c r="S946" s="5"/>
      <c r="T946" s="2" t="s">
        <v>637</v>
      </c>
      <c r="W946" s="6" t="s">
        <v>2412</v>
      </c>
    </row>
    <row r="947" spans="1:24" x14ac:dyDescent="0.15">
      <c r="A947" s="2" t="s">
        <v>97</v>
      </c>
      <c r="B947" s="2" t="s">
        <v>3932</v>
      </c>
      <c r="C947" s="2" t="s">
        <v>990</v>
      </c>
      <c r="D947" s="2" t="s">
        <v>896</v>
      </c>
      <c r="E947" s="1" t="s">
        <v>3491</v>
      </c>
      <c r="F947" s="2" t="s">
        <v>123</v>
      </c>
      <c r="G947" s="2">
        <v>33.24</v>
      </c>
      <c r="H947" s="2" t="str">
        <f t="shared" si="37"/>
        <v>W</v>
      </c>
      <c r="I947" s="5">
        <v>23.1</v>
      </c>
      <c r="J947" s="5">
        <f xml:space="preserve"> 0.0958*I947^3.213</f>
        <v>2304.8931672945728</v>
      </c>
      <c r="K947" s="5"/>
      <c r="L947" s="5">
        <v>9.58</v>
      </c>
      <c r="M947" s="2" t="s">
        <v>191</v>
      </c>
      <c r="N947" s="5"/>
      <c r="O947" s="5"/>
      <c r="P947" s="5"/>
      <c r="R947" s="5"/>
      <c r="S947" s="5"/>
      <c r="T947" s="2" t="s">
        <v>2754</v>
      </c>
      <c r="U947" s="40" t="s">
        <v>395</v>
      </c>
      <c r="W947" s="6" t="s">
        <v>3434</v>
      </c>
    </row>
    <row r="948" spans="1:24" x14ac:dyDescent="0.15">
      <c r="A948" s="2" t="s">
        <v>97</v>
      </c>
      <c r="B948" s="2" t="s">
        <v>3932</v>
      </c>
      <c r="C948" s="2" t="s">
        <v>990</v>
      </c>
      <c r="D948" s="2" t="s">
        <v>896</v>
      </c>
      <c r="E948" s="1" t="s">
        <v>3491</v>
      </c>
      <c r="F948" s="2" t="s">
        <v>123</v>
      </c>
      <c r="G948" s="2">
        <v>33.270000000000003</v>
      </c>
      <c r="H948" s="2" t="str">
        <f t="shared" si="37"/>
        <v>W</v>
      </c>
      <c r="I948" s="5"/>
      <c r="J948" s="5"/>
      <c r="K948" s="5">
        <v>8</v>
      </c>
      <c r="L948" s="5"/>
      <c r="M948" s="2" t="s">
        <v>191</v>
      </c>
      <c r="N948" s="5"/>
      <c r="O948" s="5"/>
      <c r="P948" s="5"/>
      <c r="R948" s="5"/>
      <c r="S948" s="5"/>
      <c r="W948" s="6" t="s">
        <v>3321</v>
      </c>
    </row>
    <row r="949" spans="1:24" x14ac:dyDescent="0.15">
      <c r="A949" s="2" t="s">
        <v>97</v>
      </c>
      <c r="B949" s="2" t="s">
        <v>3932</v>
      </c>
      <c r="C949" s="2" t="s">
        <v>990</v>
      </c>
      <c r="D949" s="2" t="s">
        <v>896</v>
      </c>
      <c r="E949" s="1" t="s">
        <v>3491</v>
      </c>
      <c r="F949" s="2" t="s">
        <v>123</v>
      </c>
      <c r="G949" s="2">
        <v>33.24</v>
      </c>
      <c r="H949" s="2" t="str">
        <f t="shared" si="37"/>
        <v>W</v>
      </c>
      <c r="I949" s="5">
        <v>19.764957264957264</v>
      </c>
      <c r="J949" s="5">
        <v>1396.6222944062965</v>
      </c>
      <c r="K949" s="5"/>
      <c r="L949" s="5">
        <v>6.1</v>
      </c>
      <c r="M949" s="2" t="s">
        <v>191</v>
      </c>
      <c r="N949" s="5"/>
      <c r="O949" s="5"/>
      <c r="P949" s="5"/>
      <c r="R949" s="5"/>
      <c r="S949" s="5"/>
      <c r="W949" s="6" t="s">
        <v>1983</v>
      </c>
    </row>
    <row r="950" spans="1:24" ht="12.75" customHeight="1" x14ac:dyDescent="0.15">
      <c r="A950" s="2" t="s">
        <v>97</v>
      </c>
      <c r="B950" s="2" t="s">
        <v>3932</v>
      </c>
      <c r="C950" s="2" t="s">
        <v>990</v>
      </c>
      <c r="D950" s="2" t="s">
        <v>896</v>
      </c>
      <c r="E950" s="1" t="s">
        <v>1021</v>
      </c>
      <c r="F950" s="2" t="s">
        <v>229</v>
      </c>
      <c r="G950" s="2">
        <v>33.770000000000003</v>
      </c>
      <c r="H950" s="2" t="str">
        <f t="shared" si="37"/>
        <v>W</v>
      </c>
      <c r="I950" s="5">
        <v>21.73</v>
      </c>
      <c r="J950" s="5">
        <v>1370</v>
      </c>
      <c r="K950" s="5"/>
      <c r="L950" s="5">
        <v>10.199999999999999</v>
      </c>
      <c r="M950" s="2" t="s">
        <v>191</v>
      </c>
      <c r="N950" s="5"/>
      <c r="O950" s="5"/>
      <c r="P950" s="5"/>
      <c r="R950" s="5"/>
      <c r="S950" s="5"/>
      <c r="T950" s="2">
        <v>3</v>
      </c>
      <c r="U950" s="2" t="str">
        <f>IF(T950&lt;=1, "1",IF(AND(T950&gt;1,T950&lt;4), "2-3", "+4"))</f>
        <v>2-3</v>
      </c>
      <c r="W950" s="6" t="s">
        <v>3226</v>
      </c>
    </row>
    <row r="951" spans="1:24" x14ac:dyDescent="0.15">
      <c r="A951" s="2" t="s">
        <v>97</v>
      </c>
      <c r="B951" s="2" t="s">
        <v>3932</v>
      </c>
      <c r="C951" s="2" t="s">
        <v>990</v>
      </c>
      <c r="D951" s="2" t="s">
        <v>896</v>
      </c>
      <c r="E951" s="1" t="s">
        <v>1021</v>
      </c>
      <c r="F951" s="2" t="s">
        <v>2235</v>
      </c>
      <c r="G951" s="2">
        <v>23.49</v>
      </c>
      <c r="H951" s="2" t="str">
        <f t="shared" si="37"/>
        <v>W</v>
      </c>
      <c r="I951" s="5">
        <v>19.600000000000001</v>
      </c>
      <c r="J951" s="5">
        <v>1164.5999999999999</v>
      </c>
      <c r="K951" s="5"/>
      <c r="L951" s="5">
        <v>6.44</v>
      </c>
      <c r="M951" s="2" t="s">
        <v>191</v>
      </c>
      <c r="N951" s="5"/>
      <c r="O951" s="5"/>
      <c r="P951" s="5"/>
      <c r="R951" s="5"/>
      <c r="S951" s="5"/>
      <c r="T951" s="2" t="s">
        <v>637</v>
      </c>
      <c r="W951" s="6" t="s">
        <v>2413</v>
      </c>
    </row>
    <row r="952" spans="1:24" x14ac:dyDescent="0.15">
      <c r="A952" s="1" t="s">
        <v>97</v>
      </c>
      <c r="B952" s="1" t="s">
        <v>3932</v>
      </c>
      <c r="C952" s="1" t="s">
        <v>990</v>
      </c>
      <c r="D952" s="1" t="s">
        <v>896</v>
      </c>
      <c r="E952" s="1" t="s">
        <v>1021</v>
      </c>
      <c r="F952" s="1" t="s">
        <v>260</v>
      </c>
      <c r="G952" s="1">
        <v>34.799999999999997</v>
      </c>
      <c r="H952" s="1" t="str">
        <f t="shared" si="37"/>
        <v>W</v>
      </c>
      <c r="I952" s="8">
        <v>21.6</v>
      </c>
      <c r="J952" s="8">
        <v>1404</v>
      </c>
      <c r="K952" s="8"/>
      <c r="L952" s="8">
        <v>10.65</v>
      </c>
      <c r="M952" s="8" t="s">
        <v>191</v>
      </c>
      <c r="N952" s="8">
        <v>36.200000000000003</v>
      </c>
      <c r="O952" s="8">
        <v>22.1</v>
      </c>
      <c r="P952" s="8">
        <v>10.73</v>
      </c>
      <c r="Q952" s="1" t="s">
        <v>18</v>
      </c>
      <c r="R952" s="8">
        <v>111.84</v>
      </c>
      <c r="S952" s="8">
        <v>7.86</v>
      </c>
      <c r="T952" s="1">
        <v>3.33</v>
      </c>
      <c r="U952" s="2" t="str">
        <f>IF(T952&lt;=1, "1",IF(AND(T952&gt;1,T952&lt;4), "2-3", "+4"))</f>
        <v>2-3</v>
      </c>
      <c r="V952" s="8">
        <v>26.17</v>
      </c>
      <c r="W952" s="3" t="s">
        <v>5396</v>
      </c>
      <c r="X952" s="1"/>
    </row>
    <row r="953" spans="1:24" x14ac:dyDescent="0.15">
      <c r="A953" s="4" t="s">
        <v>97</v>
      </c>
      <c r="B953" s="2" t="s">
        <v>3932</v>
      </c>
      <c r="C953" s="2" t="s">
        <v>990</v>
      </c>
      <c r="D953" s="2" t="s">
        <v>896</v>
      </c>
      <c r="E953" s="1" t="s">
        <v>3491</v>
      </c>
      <c r="F953" s="4" t="s">
        <v>69</v>
      </c>
      <c r="G953" s="4">
        <v>29.65</v>
      </c>
      <c r="H953" s="2" t="str">
        <f t="shared" si="37"/>
        <v>W</v>
      </c>
      <c r="I953" s="5">
        <f>21.03/0.942</f>
        <v>22.324840764331213</v>
      </c>
      <c r="J953" s="5">
        <v>1950</v>
      </c>
      <c r="K953" s="33"/>
      <c r="L953" s="33">
        <v>9.6999999999999993</v>
      </c>
      <c r="M953" s="4" t="s">
        <v>191</v>
      </c>
      <c r="N953" s="33">
        <v>37.700000000000003</v>
      </c>
      <c r="O953" s="5">
        <v>23.3</v>
      </c>
      <c r="P953" s="33">
        <v>10.99</v>
      </c>
      <c r="Q953" s="4" t="s">
        <v>18</v>
      </c>
      <c r="R953" s="5">
        <v>106.6</v>
      </c>
      <c r="S953" s="33">
        <v>5.5</v>
      </c>
      <c r="T953" s="4">
        <v>4</v>
      </c>
      <c r="U953" s="2" t="str">
        <f>IF(T953&lt;=1, "1",IF(AND(T953&gt;1,T953&lt;4), "2-3", "+4"))</f>
        <v>+4</v>
      </c>
      <c r="V953" s="33">
        <v>22.4</v>
      </c>
      <c r="W953" s="10" t="s">
        <v>1795</v>
      </c>
    </row>
    <row r="954" spans="1:24" x14ac:dyDescent="0.15">
      <c r="A954" s="2" t="s">
        <v>97</v>
      </c>
      <c r="B954" s="2" t="s">
        <v>3932</v>
      </c>
      <c r="C954" s="2" t="s">
        <v>990</v>
      </c>
      <c r="D954" s="2" t="s">
        <v>896</v>
      </c>
      <c r="E954" s="1" t="s">
        <v>1021</v>
      </c>
      <c r="F954" s="2" t="s">
        <v>1012</v>
      </c>
      <c r="G954" s="2">
        <v>36.06</v>
      </c>
      <c r="H954" s="2" t="str">
        <f t="shared" si="37"/>
        <v>W</v>
      </c>
      <c r="I954" s="5">
        <v>22.5</v>
      </c>
      <c r="J954" s="5">
        <v>1581</v>
      </c>
      <c r="K954" s="5"/>
      <c r="L954" s="5">
        <v>12</v>
      </c>
      <c r="M954" s="2" t="s">
        <v>191</v>
      </c>
      <c r="N954" s="5">
        <v>36.299999999999997</v>
      </c>
      <c r="O954" s="5">
        <v>23.9</v>
      </c>
      <c r="P954" s="5">
        <v>11.85</v>
      </c>
      <c r="Q954" s="2" t="s">
        <v>376</v>
      </c>
      <c r="R954" s="5">
        <v>142.25</v>
      </c>
      <c r="S954" s="5">
        <v>8.9969999999999999</v>
      </c>
      <c r="V954" s="5"/>
      <c r="W954" s="6" t="s">
        <v>2904</v>
      </c>
    </row>
    <row r="955" spans="1:24" x14ac:dyDescent="0.15">
      <c r="A955" s="2" t="s">
        <v>97</v>
      </c>
      <c r="B955" s="2" t="s">
        <v>3932</v>
      </c>
      <c r="C955" s="2" t="s">
        <v>990</v>
      </c>
      <c r="D955" s="2" t="s">
        <v>896</v>
      </c>
      <c r="E955" s="1" t="s">
        <v>3491</v>
      </c>
      <c r="F955" s="2" t="s">
        <v>3124</v>
      </c>
      <c r="G955" s="2" t="s">
        <v>374</v>
      </c>
      <c r="H955" s="2" t="str">
        <f t="shared" si="37"/>
        <v>C</v>
      </c>
      <c r="I955" s="5">
        <v>26.19</v>
      </c>
      <c r="J955" s="5">
        <f xml:space="preserve"> 0.00052*(I955*10)^2.7474</f>
        <v>2288.6996964166683</v>
      </c>
      <c r="K955" s="5"/>
      <c r="L955" s="5">
        <v>10.88</v>
      </c>
      <c r="M955" s="2" t="s">
        <v>191</v>
      </c>
      <c r="N955" s="5"/>
      <c r="O955" s="5"/>
      <c r="P955" s="5"/>
      <c r="R955" s="5"/>
      <c r="S955" s="5"/>
      <c r="V955" s="5"/>
      <c r="W955" s="6" t="s">
        <v>3225</v>
      </c>
    </row>
    <row r="956" spans="1:24" x14ac:dyDescent="0.15">
      <c r="A956" s="2" t="s">
        <v>97</v>
      </c>
      <c r="B956" s="2" t="s">
        <v>3932</v>
      </c>
      <c r="C956" s="2" t="s">
        <v>990</v>
      </c>
      <c r="D956" s="2" t="s">
        <v>896</v>
      </c>
      <c r="E956" s="1" t="s">
        <v>3491</v>
      </c>
      <c r="F956" s="2" t="s">
        <v>107</v>
      </c>
      <c r="G956" s="2">
        <v>36.69</v>
      </c>
      <c r="H956" s="2" t="str">
        <f t="shared" si="37"/>
        <v>W</v>
      </c>
      <c r="I956" s="5">
        <v>24.63</v>
      </c>
      <c r="J956" s="5">
        <v>2199.5</v>
      </c>
      <c r="K956" s="5">
        <f>MEDIAN(8,9)</f>
        <v>8.5</v>
      </c>
      <c r="L956" s="5">
        <v>10.1</v>
      </c>
      <c r="M956" s="2" t="s">
        <v>191</v>
      </c>
      <c r="N956" s="5">
        <v>34.5</v>
      </c>
      <c r="O956" s="5">
        <v>23.2</v>
      </c>
      <c r="P956" s="5">
        <v>10.8</v>
      </c>
      <c r="Q956" s="2" t="s">
        <v>18</v>
      </c>
      <c r="R956" s="5">
        <v>109.08</v>
      </c>
      <c r="S956" s="5">
        <v>4.96</v>
      </c>
      <c r="T956" s="2">
        <v>2</v>
      </c>
      <c r="U956" s="2" t="str">
        <f>IF(T956&lt;=1, "1",IF(AND(T956&gt;1,T956&lt;4), "2-3", "+4"))</f>
        <v>2-3</v>
      </c>
      <c r="V956" s="5">
        <f>S956*T956</f>
        <v>9.92</v>
      </c>
      <c r="W956" s="6" t="s">
        <v>2221</v>
      </c>
    </row>
    <row r="957" spans="1:24" x14ac:dyDescent="0.15">
      <c r="A957" s="2" t="s">
        <v>97</v>
      </c>
      <c r="B957" s="2" t="s">
        <v>3932</v>
      </c>
      <c r="C957" s="2" t="s">
        <v>990</v>
      </c>
      <c r="D957" s="2" t="s">
        <v>896</v>
      </c>
      <c r="E957" s="1" t="s">
        <v>3491</v>
      </c>
      <c r="F957" s="2" t="s">
        <v>538</v>
      </c>
      <c r="H957" s="2" t="s">
        <v>3887</v>
      </c>
      <c r="I957" s="5">
        <v>22.41</v>
      </c>
      <c r="J957" s="5">
        <f xml:space="preserve"> 0.0958*I957^3.213</f>
        <v>2090.9092992146689</v>
      </c>
      <c r="K957" s="5"/>
      <c r="L957" s="5">
        <v>8.42</v>
      </c>
      <c r="M957" s="5" t="s">
        <v>191</v>
      </c>
      <c r="N957" s="5">
        <v>35.14</v>
      </c>
      <c r="O957" s="5">
        <v>22.37</v>
      </c>
      <c r="P957" s="5">
        <v>10.050000000000001</v>
      </c>
      <c r="Q957" s="2" t="s">
        <v>376</v>
      </c>
      <c r="R957" s="5">
        <v>84.55</v>
      </c>
      <c r="S957" s="5">
        <f>(R957/J957)*100</f>
        <v>4.0436952493231724</v>
      </c>
      <c r="V957" s="5"/>
      <c r="W957" s="6" t="s">
        <v>2220</v>
      </c>
    </row>
    <row r="958" spans="1:24" x14ac:dyDescent="0.15">
      <c r="A958" s="4" t="s">
        <v>97</v>
      </c>
      <c r="B958" s="2" t="s">
        <v>3932</v>
      </c>
      <c r="C958" s="4" t="s">
        <v>990</v>
      </c>
      <c r="D958" s="2" t="s">
        <v>896</v>
      </c>
      <c r="E958" s="1" t="s">
        <v>1021</v>
      </c>
      <c r="F958" s="4" t="s">
        <v>1985</v>
      </c>
      <c r="G958" s="4">
        <v>37.03</v>
      </c>
      <c r="H958" s="2" t="str">
        <f t="shared" si="37"/>
        <v>W</v>
      </c>
      <c r="I958" s="5">
        <v>21.206</v>
      </c>
      <c r="J958" s="5">
        <v>1419.5</v>
      </c>
      <c r="K958" s="33">
        <v>5</v>
      </c>
      <c r="L958" s="33">
        <v>11.34</v>
      </c>
      <c r="M958" s="4" t="s">
        <v>191</v>
      </c>
      <c r="N958" s="5">
        <v>33.479999999999997</v>
      </c>
      <c r="O958" s="5">
        <v>21.81</v>
      </c>
      <c r="P958" s="5">
        <v>9.43</v>
      </c>
      <c r="Q958" s="2" t="s">
        <v>18</v>
      </c>
      <c r="R958" s="5">
        <v>106.9</v>
      </c>
      <c r="S958" s="5">
        <v>7.5</v>
      </c>
      <c r="T958" s="2">
        <v>4</v>
      </c>
      <c r="U958" s="2" t="str">
        <f>IF(T958&lt;=1, "1",IF(AND(T958&gt;1,T958&lt;4), "2-3", "+4"))</f>
        <v>+4</v>
      </c>
      <c r="V958" s="5">
        <f>S958*T958</f>
        <v>30</v>
      </c>
      <c r="W958" s="10" t="s">
        <v>1824</v>
      </c>
    </row>
    <row r="959" spans="1:24" x14ac:dyDescent="0.15">
      <c r="A959" s="4" t="s">
        <v>97</v>
      </c>
      <c r="B959" s="2" t="s">
        <v>3932</v>
      </c>
      <c r="C959" s="4" t="s">
        <v>990</v>
      </c>
      <c r="D959" s="2" t="s">
        <v>896</v>
      </c>
      <c r="E959" s="1" t="s">
        <v>1021</v>
      </c>
      <c r="F959" s="4" t="s">
        <v>1984</v>
      </c>
      <c r="G959" s="4">
        <v>37.200000000000003</v>
      </c>
      <c r="H959" s="2" t="str">
        <f t="shared" si="37"/>
        <v>W</v>
      </c>
      <c r="I959" s="5">
        <v>20.990000000000002</v>
      </c>
      <c r="J959" s="5">
        <v>1397.26</v>
      </c>
      <c r="K959" s="33">
        <v>5</v>
      </c>
      <c r="L959" s="33">
        <v>11.73</v>
      </c>
      <c r="M959" s="4" t="s">
        <v>191</v>
      </c>
      <c r="N959" s="5">
        <v>34.119999999999997</v>
      </c>
      <c r="O959" s="5">
        <v>21.89</v>
      </c>
      <c r="P959" s="5">
        <v>9.74</v>
      </c>
      <c r="Q959" s="2" t="s">
        <v>18</v>
      </c>
      <c r="R959" s="5">
        <v>114.3</v>
      </c>
      <c r="S959" s="5">
        <v>8.1999999999999993</v>
      </c>
      <c r="T959" s="2">
        <v>4</v>
      </c>
      <c r="U959" s="2" t="str">
        <f>IF(T959&lt;=1, "1",IF(AND(T959&gt;1,T959&lt;4), "2-3", "+4"))</f>
        <v>+4</v>
      </c>
      <c r="V959" s="5">
        <f>S959*T959</f>
        <v>32.799999999999997</v>
      </c>
      <c r="W959" s="10" t="s">
        <v>1824</v>
      </c>
    </row>
    <row r="960" spans="1:24" x14ac:dyDescent="0.15">
      <c r="A960" s="2" t="s">
        <v>97</v>
      </c>
      <c r="B960" s="2" t="s">
        <v>3932</v>
      </c>
      <c r="C960" s="2" t="s">
        <v>990</v>
      </c>
      <c r="D960" s="2" t="s">
        <v>896</v>
      </c>
      <c r="E960" s="1" t="s">
        <v>1021</v>
      </c>
      <c r="F960" s="2" t="s">
        <v>232</v>
      </c>
      <c r="G960" s="2">
        <v>35.130000000000003</v>
      </c>
      <c r="H960" s="2" t="str">
        <f t="shared" si="37"/>
        <v>W</v>
      </c>
      <c r="I960" s="5">
        <v>26.3</v>
      </c>
      <c r="J960" s="5">
        <v>2400</v>
      </c>
      <c r="K960" s="5"/>
      <c r="L960" s="5">
        <v>24</v>
      </c>
      <c r="M960" s="2" t="s">
        <v>191</v>
      </c>
      <c r="N960" s="5">
        <v>34.1</v>
      </c>
      <c r="O960" s="5">
        <v>22.6</v>
      </c>
      <c r="P960" s="5">
        <v>10.25</v>
      </c>
      <c r="Q960" s="2" t="s">
        <v>18</v>
      </c>
      <c r="R960" s="5">
        <v>246</v>
      </c>
      <c r="S960" s="5">
        <v>10.25</v>
      </c>
      <c r="T960" s="5" t="s">
        <v>495</v>
      </c>
      <c r="U960" s="40" t="s">
        <v>395</v>
      </c>
      <c r="V960" s="5"/>
      <c r="W960" s="6" t="s">
        <v>2409</v>
      </c>
    </row>
    <row r="961" spans="1:23" x14ac:dyDescent="0.15">
      <c r="A961" s="2" t="s">
        <v>97</v>
      </c>
      <c r="B961" s="2" t="s">
        <v>3932</v>
      </c>
      <c r="C961" s="2" t="s">
        <v>990</v>
      </c>
      <c r="D961" s="2" t="s">
        <v>896</v>
      </c>
      <c r="E961" s="1" t="s">
        <v>1021</v>
      </c>
      <c r="F961" s="2" t="s">
        <v>2232</v>
      </c>
      <c r="G961" s="2">
        <v>36.700000000000003</v>
      </c>
      <c r="H961" s="2" t="str">
        <f t="shared" si="37"/>
        <v>W</v>
      </c>
      <c r="I961" s="5">
        <v>22.23</v>
      </c>
      <c r="J961" s="5">
        <v>1493</v>
      </c>
      <c r="K961" s="5"/>
      <c r="L961" s="5">
        <v>13.8</v>
      </c>
      <c r="M961" s="2" t="s">
        <v>191</v>
      </c>
      <c r="N961" s="5">
        <v>36.39</v>
      </c>
      <c r="O961" s="5">
        <v>22.1</v>
      </c>
      <c r="P961" s="5">
        <v>10.39</v>
      </c>
      <c r="Q961" s="2" t="s">
        <v>376</v>
      </c>
      <c r="R961" s="5">
        <v>143.33000000000001</v>
      </c>
      <c r="S961" s="5">
        <v>9.6</v>
      </c>
      <c r="T961" s="2">
        <v>1.61</v>
      </c>
      <c r="U961" s="2" t="str">
        <f>IF(T961&lt;=1, "1",IF(AND(T961&gt;1,T961&lt;4), "2-3", "+4"))</f>
        <v>2-3</v>
      </c>
      <c r="V961" s="5">
        <f>S961*1.61</f>
        <v>15.456</v>
      </c>
      <c r="W961" s="6" t="s">
        <v>2411</v>
      </c>
    </row>
    <row r="962" spans="1:23" x14ac:dyDescent="0.15">
      <c r="A962" s="2" t="s">
        <v>97</v>
      </c>
      <c r="B962" s="2" t="s">
        <v>3932</v>
      </c>
      <c r="C962" s="2" t="s">
        <v>990</v>
      </c>
      <c r="D962" s="2" t="s">
        <v>896</v>
      </c>
      <c r="E962" s="1" t="s">
        <v>1021</v>
      </c>
      <c r="F962" s="2" t="s">
        <v>2233</v>
      </c>
      <c r="G962" s="2">
        <v>36.700000000000003</v>
      </c>
      <c r="H962" s="2" t="str">
        <f t="shared" si="37"/>
        <v>W</v>
      </c>
      <c r="I962" s="5">
        <v>22.44</v>
      </c>
      <c r="J962" s="5">
        <v>1577</v>
      </c>
      <c r="K962" s="5"/>
      <c r="L962" s="5">
        <v>14.7</v>
      </c>
      <c r="M962" s="2" t="s">
        <v>191</v>
      </c>
      <c r="N962" s="5">
        <v>35.17</v>
      </c>
      <c r="O962" s="5">
        <v>21.53</v>
      </c>
      <c r="P962" s="5">
        <v>9.76</v>
      </c>
      <c r="Q962" s="2" t="s">
        <v>376</v>
      </c>
      <c r="R962" s="5">
        <v>143.51</v>
      </c>
      <c r="S962" s="5">
        <v>9.1</v>
      </c>
      <c r="T962" s="2">
        <v>1.86</v>
      </c>
      <c r="U962" s="2" t="str">
        <f>IF(T962&lt;=1, "1",IF(AND(T962&gt;1,T962&lt;4), "2-3", "+4"))</f>
        <v>2-3</v>
      </c>
      <c r="V962" s="5">
        <f>S962*1.86</f>
        <v>16.926000000000002</v>
      </c>
      <c r="W962" s="6" t="s">
        <v>2411</v>
      </c>
    </row>
    <row r="963" spans="1:23" x14ac:dyDescent="0.15">
      <c r="A963" s="2" t="s">
        <v>97</v>
      </c>
      <c r="B963" s="2" t="s">
        <v>3932</v>
      </c>
      <c r="C963" s="2" t="s">
        <v>990</v>
      </c>
      <c r="D963" s="2" t="s">
        <v>896</v>
      </c>
      <c r="E963" s="1" t="s">
        <v>1021</v>
      </c>
      <c r="F963" s="2" t="s">
        <v>3126</v>
      </c>
      <c r="G963" s="2">
        <v>38.200000000000003</v>
      </c>
      <c r="H963" s="2" t="str">
        <f t="shared" si="37"/>
        <v>W</v>
      </c>
      <c r="I963" s="5">
        <v>21.49</v>
      </c>
      <c r="J963" s="5">
        <v>1352.4</v>
      </c>
      <c r="K963" s="5"/>
      <c r="L963" s="5">
        <v>11.09</v>
      </c>
      <c r="M963" s="2" t="s">
        <v>191</v>
      </c>
      <c r="N963" s="5"/>
      <c r="O963" s="5"/>
      <c r="P963" s="5">
        <v>10</v>
      </c>
      <c r="Q963" s="2" t="s">
        <v>18</v>
      </c>
      <c r="R963" s="5">
        <v>110.9</v>
      </c>
      <c r="S963" s="5">
        <v>8.1999999999999993</v>
      </c>
      <c r="T963" s="2">
        <v>2.62</v>
      </c>
      <c r="U963" s="2" t="str">
        <f>IF(T963&lt;=1, "1",IF(AND(T963&gt;1,T963&lt;4), "2-3", "+4"))</f>
        <v>2-3</v>
      </c>
      <c r="V963" s="5">
        <f>S963*T963</f>
        <v>21.483999999999998</v>
      </c>
      <c r="W963" s="6" t="s">
        <v>3227</v>
      </c>
    </row>
    <row r="964" spans="1:23" x14ac:dyDescent="0.15">
      <c r="A964" s="2" t="s">
        <v>97</v>
      </c>
      <c r="B964" s="2" t="s">
        <v>3932</v>
      </c>
      <c r="C964" s="2" t="s">
        <v>990</v>
      </c>
      <c r="D964" s="2" t="s">
        <v>896</v>
      </c>
      <c r="E964" s="1" t="s">
        <v>1021</v>
      </c>
      <c r="F964" s="2" t="s">
        <v>3125</v>
      </c>
      <c r="G964" s="2">
        <v>38.21</v>
      </c>
      <c r="H964" s="2" t="str">
        <f t="shared" si="37"/>
        <v>W</v>
      </c>
      <c r="I964" s="5">
        <v>22.43</v>
      </c>
      <c r="J964" s="5">
        <v>1395</v>
      </c>
      <c r="K964" s="5"/>
      <c r="L964" s="5">
        <v>12.54</v>
      </c>
      <c r="M964" s="2" t="s">
        <v>191</v>
      </c>
      <c r="N964" s="5"/>
      <c r="O964" s="5"/>
      <c r="P964" s="5">
        <v>10.01</v>
      </c>
      <c r="Q964" s="2" t="s">
        <v>18</v>
      </c>
      <c r="R964" s="5">
        <v>125.53</v>
      </c>
      <c r="S964" s="5">
        <v>9</v>
      </c>
      <c r="T964" s="2">
        <v>2.88</v>
      </c>
      <c r="U964" s="2" t="str">
        <f>IF(T964&lt;=1, "1",IF(AND(T964&gt;1,T964&lt;4), "2-3", "+4"))</f>
        <v>2-3</v>
      </c>
      <c r="V964" s="5">
        <f>S964*T964</f>
        <v>25.919999999999998</v>
      </c>
      <c r="W964" s="6" t="s">
        <v>3227</v>
      </c>
    </row>
    <row r="965" spans="1:23" x14ac:dyDescent="0.15">
      <c r="A965" s="2" t="s">
        <v>97</v>
      </c>
      <c r="B965" s="2" t="s">
        <v>3932</v>
      </c>
      <c r="C965" s="2" t="s">
        <v>990</v>
      </c>
      <c r="D965" s="2" t="s">
        <v>896</v>
      </c>
      <c r="E965" s="1" t="s">
        <v>1021</v>
      </c>
      <c r="F965" s="2" t="s">
        <v>177</v>
      </c>
      <c r="G965" s="2">
        <v>38.96</v>
      </c>
      <c r="H965" s="2" t="str">
        <f t="shared" si="37"/>
        <v>W</v>
      </c>
      <c r="I965" s="5">
        <v>26.54</v>
      </c>
      <c r="J965" s="5">
        <v>3125</v>
      </c>
      <c r="K965" s="5"/>
      <c r="L965" s="5">
        <v>30</v>
      </c>
      <c r="M965" s="2" t="s">
        <v>191</v>
      </c>
      <c r="N965" s="5">
        <v>35.9</v>
      </c>
      <c r="O965" s="5">
        <v>23.9</v>
      </c>
      <c r="P965" s="5">
        <v>12.09</v>
      </c>
      <c r="Q965" s="2" t="s">
        <v>18</v>
      </c>
      <c r="R965" s="5">
        <v>362.7</v>
      </c>
      <c r="S965" s="5">
        <v>11.61</v>
      </c>
      <c r="V965" s="5"/>
      <c r="W965" s="6" t="s">
        <v>3208</v>
      </c>
    </row>
    <row r="966" spans="1:23" x14ac:dyDescent="0.15">
      <c r="A966" s="4" t="s">
        <v>97</v>
      </c>
      <c r="B966" s="2" t="s">
        <v>3932</v>
      </c>
      <c r="C966" s="4" t="s">
        <v>990</v>
      </c>
      <c r="D966" s="2" t="s">
        <v>896</v>
      </c>
      <c r="E966" s="1" t="s">
        <v>1021</v>
      </c>
      <c r="F966" s="2" t="s">
        <v>195</v>
      </c>
      <c r="G966" s="2">
        <v>39</v>
      </c>
      <c r="H966" s="2" t="str">
        <f t="shared" si="37"/>
        <v>W</v>
      </c>
      <c r="I966" s="5">
        <f>21.8/0.942</f>
        <v>23.142250530785564</v>
      </c>
      <c r="J966" s="5">
        <f xml:space="preserve"> 0.00052*(I966*10)^2.7474</f>
        <v>1629.1882298025739</v>
      </c>
      <c r="K966" s="5"/>
      <c r="L966" s="5"/>
      <c r="M966" s="2" t="s">
        <v>191</v>
      </c>
      <c r="N966" s="5"/>
      <c r="O966" s="5">
        <f>(P966+13.94)/1.1007</f>
        <v>22.204051966930134</v>
      </c>
      <c r="P966" s="5">
        <f>AVERAGE(10.5,10.64,10.36)</f>
        <v>10.5</v>
      </c>
      <c r="Q966" s="2" t="s">
        <v>18</v>
      </c>
      <c r="R966" s="5"/>
      <c r="S966" s="5"/>
      <c r="V966" s="5"/>
      <c r="W966" s="6" t="s">
        <v>1986</v>
      </c>
    </row>
    <row r="967" spans="1:23" x14ac:dyDescent="0.15">
      <c r="A967" s="2" t="s">
        <v>97</v>
      </c>
      <c r="B967" s="2" t="s">
        <v>3932</v>
      </c>
      <c r="C967" s="2" t="s">
        <v>990</v>
      </c>
      <c r="D967" s="2" t="s">
        <v>896</v>
      </c>
      <c r="E967" s="1" t="s">
        <v>1021</v>
      </c>
      <c r="F967" s="2" t="s">
        <v>177</v>
      </c>
      <c r="G967" s="2">
        <v>39.1</v>
      </c>
      <c r="H967" s="2" t="str">
        <f t="shared" si="37"/>
        <v>W</v>
      </c>
      <c r="I967" s="5"/>
      <c r="J967" s="5"/>
      <c r="K967" s="5"/>
      <c r="L967" s="5">
        <v>13.3</v>
      </c>
      <c r="M967" s="2" t="s">
        <v>191</v>
      </c>
      <c r="N967" s="5">
        <v>35.700000000000003</v>
      </c>
      <c r="O967" s="5">
        <v>22.3</v>
      </c>
      <c r="P967" s="5">
        <v>10.69</v>
      </c>
      <c r="Q967" s="2" t="s">
        <v>18</v>
      </c>
      <c r="R967" s="5">
        <v>142.4</v>
      </c>
      <c r="S967" s="5"/>
      <c r="V967" s="5"/>
      <c r="W967" s="6" t="s">
        <v>3209</v>
      </c>
    </row>
    <row r="968" spans="1:23" x14ac:dyDescent="0.15">
      <c r="A968" s="2" t="s">
        <v>97</v>
      </c>
      <c r="B968" s="2" t="s">
        <v>3932</v>
      </c>
      <c r="C968" s="2" t="s">
        <v>990</v>
      </c>
      <c r="D968" s="2" t="s">
        <v>896</v>
      </c>
      <c r="E968" s="1" t="s">
        <v>1021</v>
      </c>
      <c r="F968" s="2" t="s">
        <v>177</v>
      </c>
      <c r="G968" s="2">
        <v>39.119999999999997</v>
      </c>
      <c r="H968" s="2" t="str">
        <f t="shared" si="37"/>
        <v>W</v>
      </c>
      <c r="I968" s="5">
        <v>21.08</v>
      </c>
      <c r="J968" s="5">
        <v>1260</v>
      </c>
      <c r="K968" s="5">
        <v>6</v>
      </c>
      <c r="L968" s="5">
        <v>12.11</v>
      </c>
      <c r="M968" s="2" t="s">
        <v>191</v>
      </c>
      <c r="N968" s="5">
        <v>33.840000000000003</v>
      </c>
      <c r="O968" s="5">
        <v>20.9</v>
      </c>
      <c r="P968" s="5">
        <v>9.0679999999999996</v>
      </c>
      <c r="Q968" s="2" t="s">
        <v>18</v>
      </c>
      <c r="R968" s="5">
        <v>109.81</v>
      </c>
      <c r="S968" s="5">
        <v>8.7200000000000006</v>
      </c>
      <c r="V968" s="5"/>
      <c r="W968" s="6" t="s">
        <v>2410</v>
      </c>
    </row>
    <row r="969" spans="1:23" x14ac:dyDescent="0.15">
      <c r="A969" s="4" t="s">
        <v>97</v>
      </c>
      <c r="B969" s="2" t="s">
        <v>3932</v>
      </c>
      <c r="C969" s="4" t="s">
        <v>990</v>
      </c>
      <c r="D969" s="2" t="s">
        <v>896</v>
      </c>
      <c r="E969" s="1" t="s">
        <v>1021</v>
      </c>
      <c r="F969" s="4" t="s">
        <v>177</v>
      </c>
      <c r="G969" s="4">
        <v>39.119999999999997</v>
      </c>
      <c r="H969" s="2" t="str">
        <f t="shared" si="37"/>
        <v>W</v>
      </c>
      <c r="I969" s="5"/>
      <c r="J969" s="5"/>
      <c r="K969" s="33"/>
      <c r="L969" s="33"/>
      <c r="M969" s="4" t="s">
        <v>191</v>
      </c>
      <c r="N969" s="5"/>
      <c r="O969" s="5"/>
      <c r="P969" s="33"/>
      <c r="Q969" s="4"/>
      <c r="R969" s="33"/>
      <c r="S969" s="33"/>
      <c r="T969" s="4">
        <v>2.68</v>
      </c>
      <c r="U969" s="2" t="str">
        <f>IF(T969&lt;=1, "1",IF(AND(T969&gt;1,T969&lt;4), "2-3", "+4"))</f>
        <v>2-3</v>
      </c>
      <c r="V969" s="33"/>
      <c r="W969" s="10" t="s">
        <v>1825</v>
      </c>
    </row>
    <row r="970" spans="1:23" x14ac:dyDescent="0.15">
      <c r="A970" s="4" t="s">
        <v>97</v>
      </c>
      <c r="B970" s="2" t="s">
        <v>3932</v>
      </c>
      <c r="C970" s="4" t="s">
        <v>990</v>
      </c>
      <c r="D970" s="2" t="s">
        <v>896</v>
      </c>
      <c r="E970" s="1" t="s">
        <v>1021</v>
      </c>
      <c r="F970" s="2" t="s">
        <v>195</v>
      </c>
      <c r="G970" s="2">
        <v>39</v>
      </c>
      <c r="H970" s="2" t="str">
        <f t="shared" si="37"/>
        <v>W</v>
      </c>
      <c r="I970" s="5">
        <f>21.37/0.942</f>
        <v>22.685774946921445</v>
      </c>
      <c r="J970" s="5">
        <v>1848</v>
      </c>
      <c r="K970" s="5"/>
      <c r="L970" s="5">
        <v>12.5</v>
      </c>
      <c r="M970" s="2" t="s">
        <v>191</v>
      </c>
      <c r="N970" s="5">
        <v>35.4</v>
      </c>
      <c r="O970" s="5">
        <v>22.1</v>
      </c>
      <c r="P970" s="5">
        <v>10.36</v>
      </c>
      <c r="Q970" s="2" t="s">
        <v>18</v>
      </c>
      <c r="R970" s="5">
        <f>P970*L970</f>
        <v>129.5</v>
      </c>
      <c r="S970" s="5">
        <f>(R970/J970)*100</f>
        <v>7.0075757575757569</v>
      </c>
      <c r="V970" s="5"/>
      <c r="W970" s="6" t="s">
        <v>1989</v>
      </c>
    </row>
    <row r="971" spans="1:23" x14ac:dyDescent="0.15">
      <c r="A971" s="2" t="s">
        <v>97</v>
      </c>
      <c r="B971" s="2" t="s">
        <v>3932</v>
      </c>
      <c r="C971" s="2" t="s">
        <v>990</v>
      </c>
      <c r="D971" s="2" t="s">
        <v>896</v>
      </c>
      <c r="E971" s="1" t="s">
        <v>1021</v>
      </c>
      <c r="F971" s="2" t="s">
        <v>177</v>
      </c>
      <c r="G971" s="2">
        <v>39.299999999999997</v>
      </c>
      <c r="H971" s="2" t="str">
        <f t="shared" si="37"/>
        <v>W</v>
      </c>
      <c r="I971" s="5">
        <v>22.77</v>
      </c>
      <c r="J971" s="5">
        <v>1558</v>
      </c>
      <c r="K971" s="5"/>
      <c r="L971" s="5">
        <v>14.8</v>
      </c>
      <c r="M971" s="2" t="s">
        <v>191</v>
      </c>
      <c r="N971" s="5">
        <v>35.700000000000003</v>
      </c>
      <c r="O971" s="5">
        <v>22.65</v>
      </c>
      <c r="P971" s="5">
        <v>10.97</v>
      </c>
      <c r="Q971" s="2" t="s">
        <v>18</v>
      </c>
      <c r="R971" s="5">
        <v>162.4</v>
      </c>
      <c r="S971" s="5">
        <v>10.42</v>
      </c>
      <c r="V971" s="5"/>
      <c r="W971" s="6" t="s">
        <v>3210</v>
      </c>
    </row>
    <row r="972" spans="1:23" x14ac:dyDescent="0.15">
      <c r="A972" s="4" t="s">
        <v>97</v>
      </c>
      <c r="B972" s="2" t="s">
        <v>3932</v>
      </c>
      <c r="C972" s="4" t="s">
        <v>990</v>
      </c>
      <c r="D972" s="2" t="s">
        <v>896</v>
      </c>
      <c r="E972" s="1" t="s">
        <v>1021</v>
      </c>
      <c r="F972" s="2" t="s">
        <v>196</v>
      </c>
      <c r="G972" s="2">
        <v>39</v>
      </c>
      <c r="H972" s="2" t="str">
        <f t="shared" si="37"/>
        <v>W</v>
      </c>
      <c r="I972" s="5">
        <f>20.9/0.942</f>
        <v>22.186836518046707</v>
      </c>
      <c r="J972" s="5">
        <v>1605</v>
      </c>
      <c r="K972" s="5"/>
      <c r="L972" s="5">
        <v>11.2</v>
      </c>
      <c r="M972" s="2" t="s">
        <v>191</v>
      </c>
      <c r="N972" s="5"/>
      <c r="O972" s="5">
        <f t="shared" ref="O972:O978" si="40">(P972+13.94)/1.1007</f>
        <v>22.758244753338783</v>
      </c>
      <c r="P972" s="5">
        <v>11.11</v>
      </c>
      <c r="Q972" s="2" t="s">
        <v>18</v>
      </c>
      <c r="R972" s="5">
        <v>123.9</v>
      </c>
      <c r="S972" s="5">
        <v>7.7</v>
      </c>
      <c r="V972" s="5"/>
      <c r="W972" s="6" t="s">
        <v>1987</v>
      </c>
    </row>
    <row r="973" spans="1:23" x14ac:dyDescent="0.15">
      <c r="A973" s="4" t="s">
        <v>97</v>
      </c>
      <c r="B973" s="2" t="s">
        <v>3932</v>
      </c>
      <c r="C973" s="4" t="s">
        <v>990</v>
      </c>
      <c r="D973" s="2" t="s">
        <v>896</v>
      </c>
      <c r="E973" s="1" t="s">
        <v>1021</v>
      </c>
      <c r="F973" s="2" t="s">
        <v>199</v>
      </c>
      <c r="G973" s="2">
        <v>39</v>
      </c>
      <c r="H973" s="2" t="str">
        <f t="shared" si="37"/>
        <v>W</v>
      </c>
      <c r="I973" s="5">
        <f>21.1/0.942</f>
        <v>22.399150743099792</v>
      </c>
      <c r="J973" s="5">
        <v>1709</v>
      </c>
      <c r="K973" s="5"/>
      <c r="L973" s="5">
        <v>14.2</v>
      </c>
      <c r="M973" s="2" t="s">
        <v>191</v>
      </c>
      <c r="N973" s="5"/>
      <c r="O973" s="5">
        <f t="shared" si="40"/>
        <v>22.849096029799217</v>
      </c>
      <c r="P973" s="5">
        <v>11.21</v>
      </c>
      <c r="Q973" s="2" t="s">
        <v>18</v>
      </c>
      <c r="R973" s="5">
        <v>159.19999999999999</v>
      </c>
      <c r="S973" s="5">
        <v>9.3000000000000007</v>
      </c>
      <c r="V973" s="5"/>
      <c r="W973" s="6" t="s">
        <v>1987</v>
      </c>
    </row>
    <row r="974" spans="1:23" x14ac:dyDescent="0.15">
      <c r="A974" s="4" t="s">
        <v>97</v>
      </c>
      <c r="B974" s="2" t="s">
        <v>3932</v>
      </c>
      <c r="C974" s="4" t="s">
        <v>990</v>
      </c>
      <c r="D974" s="2" t="s">
        <v>896</v>
      </c>
      <c r="E974" s="1" t="s">
        <v>1021</v>
      </c>
      <c r="F974" s="2" t="s">
        <v>197</v>
      </c>
      <c r="G974" s="2">
        <v>39</v>
      </c>
      <c r="H974" s="2" t="str">
        <f t="shared" si="37"/>
        <v>W</v>
      </c>
      <c r="I974" s="5">
        <f>21.4/0.942</f>
        <v>22.717622080679405</v>
      </c>
      <c r="J974" s="5">
        <v>1751</v>
      </c>
      <c r="K974" s="5"/>
      <c r="L974" s="5">
        <v>14.9</v>
      </c>
      <c r="M974" s="2" t="s">
        <v>191</v>
      </c>
      <c r="N974" s="5"/>
      <c r="O974" s="5">
        <f t="shared" si="40"/>
        <v>22.331243753974743</v>
      </c>
      <c r="P974" s="5">
        <v>10.64</v>
      </c>
      <c r="Q974" s="2" t="s">
        <v>18</v>
      </c>
      <c r="R974" s="5">
        <v>158.69999999999999</v>
      </c>
      <c r="S974" s="5">
        <v>9</v>
      </c>
      <c r="V974" s="5"/>
      <c r="W974" s="6" t="s">
        <v>1987</v>
      </c>
    </row>
    <row r="975" spans="1:23" x14ac:dyDescent="0.15">
      <c r="A975" s="4" t="s">
        <v>97</v>
      </c>
      <c r="B975" s="2" t="s">
        <v>3932</v>
      </c>
      <c r="C975" s="4" t="s">
        <v>990</v>
      </c>
      <c r="D975" s="2" t="s">
        <v>896</v>
      </c>
      <c r="E975" s="1" t="s">
        <v>1021</v>
      </c>
      <c r="F975" s="2" t="s">
        <v>198</v>
      </c>
      <c r="G975" s="2">
        <v>39</v>
      </c>
      <c r="H975" s="2" t="str">
        <f t="shared" si="37"/>
        <v>W</v>
      </c>
      <c r="I975" s="5">
        <f>21.6/0.942</f>
        <v>22.929936305732486</v>
      </c>
      <c r="J975" s="5">
        <v>1806</v>
      </c>
      <c r="K975" s="5"/>
      <c r="L975" s="5">
        <v>15.1</v>
      </c>
      <c r="M975" s="2" t="s">
        <v>191</v>
      </c>
      <c r="N975" s="5"/>
      <c r="O975" s="5">
        <f t="shared" si="40"/>
        <v>23.276097029163257</v>
      </c>
      <c r="P975" s="5">
        <v>11.68</v>
      </c>
      <c r="Q975" s="2" t="s">
        <v>18</v>
      </c>
      <c r="R975" s="5">
        <v>177.3</v>
      </c>
      <c r="S975" s="5">
        <v>9.6999999999999993</v>
      </c>
      <c r="V975" s="5"/>
      <c r="W975" s="6" t="s">
        <v>1987</v>
      </c>
    </row>
    <row r="976" spans="1:23" x14ac:dyDescent="0.15">
      <c r="A976" s="4" t="s">
        <v>97</v>
      </c>
      <c r="B976" s="2" t="s">
        <v>3932</v>
      </c>
      <c r="C976" s="4" t="s">
        <v>990</v>
      </c>
      <c r="D976" s="2" t="s">
        <v>896</v>
      </c>
      <c r="E976" s="1" t="s">
        <v>1021</v>
      </c>
      <c r="F976" s="2" t="s">
        <v>195</v>
      </c>
      <c r="G976" s="2">
        <v>39</v>
      </c>
      <c r="H976" s="2" t="str">
        <f t="shared" si="37"/>
        <v>W</v>
      </c>
      <c r="I976" s="5">
        <f>21.27/0.942</f>
        <v>22.579617834394906</v>
      </c>
      <c r="J976" s="5">
        <f>AVERAGE(1701,1709,1830)</f>
        <v>1746.6666666666667</v>
      </c>
      <c r="K976" s="5"/>
      <c r="L976" s="5">
        <f>AVERAGE(12.5,14.2,13)</f>
        <v>13.233333333333334</v>
      </c>
      <c r="M976" s="2" t="s">
        <v>191</v>
      </c>
      <c r="N976" s="5"/>
      <c r="O976" s="5">
        <f t="shared" si="40"/>
        <v>22.68859210805245</v>
      </c>
      <c r="P976" s="5">
        <f>AVERAGE(10.76,11.21,11.13)</f>
        <v>11.033333333333333</v>
      </c>
      <c r="Q976" s="2" t="s">
        <v>18</v>
      </c>
      <c r="R976" s="5">
        <f>AVERAGE(134.4,159.2,144.7)</f>
        <v>146.1</v>
      </c>
      <c r="S976" s="5">
        <f>(AVERAGE(0.081,0.093,0.079))*100</f>
        <v>8.4333333333333336</v>
      </c>
      <c r="V976" s="5"/>
      <c r="W976" s="6" t="s">
        <v>1988</v>
      </c>
    </row>
    <row r="977" spans="1:23" x14ac:dyDescent="0.15">
      <c r="A977" s="4" t="s">
        <v>97</v>
      </c>
      <c r="B977" s="2" t="s">
        <v>3932</v>
      </c>
      <c r="C977" s="4" t="s">
        <v>990</v>
      </c>
      <c r="D977" s="2" t="s">
        <v>896</v>
      </c>
      <c r="E977" s="1" t="s">
        <v>1021</v>
      </c>
      <c r="F977" s="2" t="s">
        <v>195</v>
      </c>
      <c r="G977" s="2">
        <v>39</v>
      </c>
      <c r="H977" s="2" t="str">
        <f t="shared" si="37"/>
        <v>W</v>
      </c>
      <c r="I977" s="5">
        <f>21.47/0.942</f>
        <v>22.791932059447984</v>
      </c>
      <c r="J977" s="5">
        <f>AVERAGE(1646,1806,1656)</f>
        <v>1702.6666666666667</v>
      </c>
      <c r="K977" s="5"/>
      <c r="L977" s="5">
        <f>AVERAGE(13.3,15.1,12.7)</f>
        <v>13.699999999999998</v>
      </c>
      <c r="M977" s="2" t="s">
        <v>191</v>
      </c>
      <c r="N977" s="5"/>
      <c r="O977" s="5">
        <f t="shared" si="40"/>
        <v>22.549286817479786</v>
      </c>
      <c r="P977" s="5">
        <f>AVERAGE(10.22,11.68,10.74)</f>
        <v>10.88</v>
      </c>
      <c r="Q977" s="2" t="s">
        <v>18</v>
      </c>
      <c r="R977" s="5">
        <f>AVERAGE(135.8,177.3,136.8)</f>
        <v>149.96666666666667</v>
      </c>
      <c r="S977" s="5">
        <f>(AVERAGE(0.083,0.097,0.082))*100</f>
        <v>8.7333333333333325</v>
      </c>
      <c r="V977" s="5"/>
      <c r="W977" s="6" t="s">
        <v>1988</v>
      </c>
    </row>
    <row r="978" spans="1:23" x14ac:dyDescent="0.15">
      <c r="A978" s="4" t="s">
        <v>97</v>
      </c>
      <c r="B978" s="2" t="s">
        <v>3932</v>
      </c>
      <c r="C978" s="4" t="s">
        <v>990</v>
      </c>
      <c r="D978" s="2" t="s">
        <v>896</v>
      </c>
      <c r="E978" s="1" t="s">
        <v>1021</v>
      </c>
      <c r="F978" s="2" t="s">
        <v>195</v>
      </c>
      <c r="G978" s="2">
        <v>39</v>
      </c>
      <c r="H978" s="2" t="str">
        <f t="shared" si="37"/>
        <v>W</v>
      </c>
      <c r="I978" s="5">
        <f>21.37/0.942</f>
        <v>22.685774946921445</v>
      </c>
      <c r="J978" s="5">
        <f>AVERAGE(1643,1751,1735)</f>
        <v>1709.6666666666667</v>
      </c>
      <c r="K978" s="5"/>
      <c r="L978" s="5">
        <f>AVERAGE(13.6,14.9,13.5)</f>
        <v>14</v>
      </c>
      <c r="M978" s="2" t="s">
        <v>191</v>
      </c>
      <c r="N978" s="5"/>
      <c r="O978" s="5">
        <f t="shared" si="40"/>
        <v>22.104115562823655</v>
      </c>
      <c r="P978" s="5">
        <f>AVERAGE(10.5,10.64,10.03)</f>
        <v>10.39</v>
      </c>
      <c r="Q978" s="2" t="s">
        <v>18</v>
      </c>
      <c r="R978" s="5">
        <f>AVERAGE(142,158.7,136.3)</f>
        <v>145.66666666666666</v>
      </c>
      <c r="S978" s="5">
        <f>(AVERAGE(0.088,0.09,0.079))*100</f>
        <v>8.5666666666666664</v>
      </c>
      <c r="V978" s="5"/>
      <c r="W978" s="6" t="s">
        <v>1988</v>
      </c>
    </row>
    <row r="979" spans="1:23" x14ac:dyDescent="0.15">
      <c r="A979" s="2" t="s">
        <v>97</v>
      </c>
      <c r="B979" s="2" t="s">
        <v>3932</v>
      </c>
      <c r="C979" s="2" t="s">
        <v>990</v>
      </c>
      <c r="D979" s="2" t="s">
        <v>896</v>
      </c>
      <c r="E979" s="1" t="s">
        <v>1021</v>
      </c>
      <c r="F979" s="2" t="s">
        <v>177</v>
      </c>
      <c r="G979" s="2">
        <v>39.1</v>
      </c>
      <c r="H979" s="2" t="str">
        <f t="shared" si="37"/>
        <v>W</v>
      </c>
      <c r="I979" s="5">
        <v>21.8</v>
      </c>
      <c r="J979" s="5">
        <v>1745</v>
      </c>
      <c r="K979" s="5"/>
      <c r="L979" s="5">
        <v>11.5</v>
      </c>
      <c r="M979" s="2" t="s">
        <v>191</v>
      </c>
      <c r="N979" s="5">
        <v>35.200000000000003</v>
      </c>
      <c r="O979" s="5">
        <v>22.3</v>
      </c>
      <c r="P979" s="5">
        <v>10.6</v>
      </c>
      <c r="Q979" s="2" t="s">
        <v>18</v>
      </c>
      <c r="R979" s="5">
        <v>121.9</v>
      </c>
      <c r="S979" s="5">
        <v>6.99</v>
      </c>
      <c r="V979" s="5"/>
      <c r="W979" s="6" t="s">
        <v>3137</v>
      </c>
    </row>
    <row r="980" spans="1:23" x14ac:dyDescent="0.15">
      <c r="A980" s="4" t="s">
        <v>97</v>
      </c>
      <c r="B980" s="2" t="s">
        <v>3932</v>
      </c>
      <c r="C980" s="4" t="s">
        <v>990</v>
      </c>
      <c r="D980" s="2" t="s">
        <v>896</v>
      </c>
      <c r="E980" s="1" t="s">
        <v>1021</v>
      </c>
      <c r="F980" s="4" t="s">
        <v>177</v>
      </c>
      <c r="G980" s="4">
        <v>39</v>
      </c>
      <c r="H980" s="2" t="str">
        <f t="shared" si="37"/>
        <v>W</v>
      </c>
      <c r="I980" s="33">
        <v>15.419999999999998</v>
      </c>
      <c r="J980" s="33">
        <v>706.7</v>
      </c>
      <c r="K980" s="33"/>
      <c r="L980" s="33"/>
      <c r="M980" s="2" t="s">
        <v>191</v>
      </c>
      <c r="N980" s="33"/>
      <c r="O980" s="33"/>
      <c r="P980" s="33"/>
      <c r="Q980" s="4"/>
      <c r="R980" s="33"/>
      <c r="S980" s="33"/>
      <c r="T980" s="4">
        <v>2.25</v>
      </c>
      <c r="U980" s="2" t="str">
        <f>IF(T980&lt;=1, "1",IF(AND(T980&gt;1,T980&lt;4), "2-3", "+4"))</f>
        <v>2-3</v>
      </c>
      <c r="V980" s="33"/>
      <c r="W980" s="10" t="s">
        <v>1826</v>
      </c>
    </row>
    <row r="981" spans="1:23" x14ac:dyDescent="0.15">
      <c r="A981" s="2" t="s">
        <v>97</v>
      </c>
      <c r="B981" s="2" t="s">
        <v>3932</v>
      </c>
      <c r="C981" s="2" t="s">
        <v>990</v>
      </c>
      <c r="D981" s="2" t="s">
        <v>896</v>
      </c>
      <c r="E981" s="1" t="s">
        <v>1021</v>
      </c>
      <c r="F981" s="2" t="s">
        <v>1012</v>
      </c>
      <c r="G981" s="2">
        <v>33.89</v>
      </c>
      <c r="H981" s="2" t="str">
        <f t="shared" si="37"/>
        <v>W</v>
      </c>
      <c r="I981" s="5">
        <v>19.5</v>
      </c>
      <c r="J981" s="5">
        <v>1003.68</v>
      </c>
      <c r="K981" s="5">
        <v>4</v>
      </c>
      <c r="L981" s="5">
        <v>8.8000000000000007</v>
      </c>
      <c r="M981" s="2" t="s">
        <v>191</v>
      </c>
      <c r="N981" s="5">
        <v>37.6</v>
      </c>
      <c r="O981" s="5">
        <v>21.4</v>
      </c>
      <c r="P981" s="5">
        <v>10.35</v>
      </c>
      <c r="Q981" s="2" t="s">
        <v>376</v>
      </c>
      <c r="R981" s="5">
        <v>91.08</v>
      </c>
      <c r="S981" s="5">
        <v>9.07</v>
      </c>
      <c r="T981" s="2">
        <v>3</v>
      </c>
      <c r="U981" s="2" t="str">
        <f>IF(T981&lt;=1, "1",IF(AND(T981&gt;1,T981&lt;4), "2-3", "+4"))</f>
        <v>2-3</v>
      </c>
      <c r="V981" s="5">
        <f>S981*T981</f>
        <v>27.21</v>
      </c>
      <c r="W981" s="6" t="s">
        <v>2457</v>
      </c>
    </row>
    <row r="982" spans="1:23" x14ac:dyDescent="0.15">
      <c r="A982" s="2" t="s">
        <v>97</v>
      </c>
      <c r="B982" s="2" t="s">
        <v>3932</v>
      </c>
      <c r="C982" s="2" t="s">
        <v>990</v>
      </c>
      <c r="D982" s="2" t="s">
        <v>896</v>
      </c>
      <c r="E982" s="1" t="s">
        <v>1021</v>
      </c>
      <c r="F982" s="2" t="s">
        <v>1012</v>
      </c>
      <c r="G982" s="2">
        <v>33.89</v>
      </c>
      <c r="H982" s="2" t="str">
        <f t="shared" si="37"/>
        <v>W</v>
      </c>
      <c r="I982" s="5">
        <v>19.2</v>
      </c>
      <c r="J982" s="5">
        <v>955.5</v>
      </c>
      <c r="K982" s="5">
        <v>4</v>
      </c>
      <c r="L982" s="5">
        <v>8.8000000000000007</v>
      </c>
      <c r="M982" s="2" t="s">
        <v>191</v>
      </c>
      <c r="N982" s="5">
        <v>37.6</v>
      </c>
      <c r="O982" s="5">
        <v>21.4</v>
      </c>
      <c r="P982" s="5">
        <v>10.35</v>
      </c>
      <c r="Q982" s="2" t="s">
        <v>376</v>
      </c>
      <c r="R982" s="5">
        <v>91.08</v>
      </c>
      <c r="S982" s="5">
        <v>9.5299999999999994</v>
      </c>
      <c r="T982" s="9">
        <f>MEDIAN(1,3)</f>
        <v>2</v>
      </c>
      <c r="U982" s="2" t="str">
        <f>IF(T982&lt;=1, "1",IF(AND(T982&gt;1,T982&lt;4), "2-3", "+4"))</f>
        <v>2-3</v>
      </c>
      <c r="V982" s="5">
        <f>S982*T982</f>
        <v>19.059999999999999</v>
      </c>
      <c r="W982" s="6" t="s">
        <v>2457</v>
      </c>
    </row>
    <row r="983" spans="1:23" x14ac:dyDescent="0.15">
      <c r="A983" s="2" t="s">
        <v>97</v>
      </c>
      <c r="B983" s="2" t="s">
        <v>3932</v>
      </c>
      <c r="C983" s="2" t="s">
        <v>990</v>
      </c>
      <c r="D983" s="2" t="s">
        <v>3847</v>
      </c>
      <c r="E983" s="1" t="s">
        <v>3492</v>
      </c>
      <c r="F983" s="2" t="s">
        <v>520</v>
      </c>
      <c r="G983" s="2">
        <v>18.309999999999999</v>
      </c>
      <c r="H983" s="2" t="str">
        <f t="shared" si="37"/>
        <v>W</v>
      </c>
      <c r="I983" s="5">
        <v>16.899999999999999</v>
      </c>
      <c r="J983" s="5">
        <v>725</v>
      </c>
      <c r="K983" s="5"/>
      <c r="L983" s="5">
        <v>8.67</v>
      </c>
      <c r="M983" s="2" t="s">
        <v>191</v>
      </c>
      <c r="N983" s="5"/>
      <c r="O983" s="5"/>
      <c r="P983" s="5"/>
      <c r="R983" s="5"/>
      <c r="S983" s="5"/>
      <c r="T983" s="5"/>
      <c r="U983" s="5"/>
      <c r="V983" s="5"/>
      <c r="W983" s="6" t="s">
        <v>2208</v>
      </c>
    </row>
    <row r="984" spans="1:23" x14ac:dyDescent="0.15">
      <c r="A984" s="2" t="s">
        <v>97</v>
      </c>
      <c r="B984" s="2" t="s">
        <v>3932</v>
      </c>
      <c r="C984" s="2" t="s">
        <v>990</v>
      </c>
      <c r="D984" s="2" t="s">
        <v>722</v>
      </c>
      <c r="E984" s="1"/>
      <c r="F984" s="2" t="s">
        <v>4475</v>
      </c>
      <c r="G984" s="2">
        <v>26.98</v>
      </c>
      <c r="H984" s="2" t="str">
        <f t="shared" si="37"/>
        <v>W</v>
      </c>
      <c r="I984" s="5">
        <v>14.4</v>
      </c>
      <c r="J984" s="5">
        <v>383</v>
      </c>
      <c r="K984" s="5"/>
      <c r="L984" s="5">
        <v>7</v>
      </c>
      <c r="M984" s="2" t="s">
        <v>191</v>
      </c>
      <c r="N984" s="5"/>
      <c r="O984" s="5"/>
      <c r="P984" s="5"/>
      <c r="R984" s="5"/>
      <c r="S984" s="5"/>
      <c r="V984" s="5"/>
      <c r="W984" s="6" t="s">
        <v>2213</v>
      </c>
    </row>
    <row r="985" spans="1:23" x14ac:dyDescent="0.15">
      <c r="A985" s="2" t="s">
        <v>97</v>
      </c>
      <c r="B985" s="2" t="s">
        <v>3932</v>
      </c>
      <c r="C985" s="2" t="s">
        <v>990</v>
      </c>
      <c r="D985" s="2" t="s">
        <v>385</v>
      </c>
      <c r="E985" s="1"/>
      <c r="F985" s="2" t="s">
        <v>386</v>
      </c>
      <c r="G985" s="2" t="s">
        <v>374</v>
      </c>
      <c r="H985" s="2" t="str">
        <f t="shared" si="37"/>
        <v>C</v>
      </c>
      <c r="I985" s="5">
        <v>20.3</v>
      </c>
      <c r="J985" s="5">
        <v>1270</v>
      </c>
      <c r="K985" s="5"/>
      <c r="L985" s="5">
        <v>4</v>
      </c>
      <c r="M985" s="2" t="s">
        <v>191</v>
      </c>
      <c r="N985" s="5"/>
      <c r="O985" s="5"/>
      <c r="P985" s="5"/>
      <c r="R985" s="5"/>
      <c r="S985" s="5"/>
      <c r="T985" s="9"/>
      <c r="U985" s="9"/>
      <c r="V985" s="5"/>
      <c r="W985" s="6" t="s">
        <v>2208</v>
      </c>
    </row>
    <row r="986" spans="1:23" x14ac:dyDescent="0.15">
      <c r="A986" s="2" t="s">
        <v>97</v>
      </c>
      <c r="B986" s="2" t="s">
        <v>3932</v>
      </c>
      <c r="C986" s="2" t="s">
        <v>990</v>
      </c>
      <c r="D986" s="2" t="s">
        <v>385</v>
      </c>
      <c r="E986" s="1"/>
      <c r="F986" s="2" t="s">
        <v>386</v>
      </c>
      <c r="G986" s="2" t="s">
        <v>374</v>
      </c>
      <c r="H986" s="2" t="str">
        <f t="shared" si="37"/>
        <v>C</v>
      </c>
      <c r="I986" s="5">
        <v>25</v>
      </c>
      <c r="J986" s="5">
        <f xml:space="preserve"> 0.000053908*(I986*10)^3.1746</f>
        <v>2208.7856454357548</v>
      </c>
      <c r="K986" s="5"/>
      <c r="L986" s="5">
        <v>5.4</v>
      </c>
      <c r="M986" s="5" t="s">
        <v>191</v>
      </c>
      <c r="N986" s="5">
        <v>44</v>
      </c>
      <c r="O986" s="5">
        <v>26</v>
      </c>
      <c r="P986" s="5">
        <f xml:space="preserve"> (0.763*N986) + (0.921*O986) - 37.744</f>
        <v>19.774000000000001</v>
      </c>
      <c r="Q986" s="2" t="s">
        <v>376</v>
      </c>
      <c r="R986" s="5">
        <f>P986*L986</f>
        <v>106.77960000000002</v>
      </c>
      <c r="S986" s="5">
        <f>(R986/J986)*100</f>
        <v>4.8343124748501465</v>
      </c>
      <c r="T986" s="2">
        <v>3</v>
      </c>
      <c r="U986" s="2" t="str">
        <f>IF(T986&lt;=1, "1",IF(AND(T986&gt;1,T986&lt;4), "2-3", "+4"))</f>
        <v>2-3</v>
      </c>
      <c r="V986" s="5">
        <f>S986*T986</f>
        <v>14.502937424550439</v>
      </c>
      <c r="W986" s="6" t="s">
        <v>2415</v>
      </c>
    </row>
    <row r="987" spans="1:23" x14ac:dyDescent="0.15">
      <c r="A987" s="2" t="s">
        <v>97</v>
      </c>
      <c r="B987" s="2" t="s">
        <v>3932</v>
      </c>
      <c r="C987" s="2" t="s">
        <v>990</v>
      </c>
      <c r="D987" s="2" t="s">
        <v>620</v>
      </c>
      <c r="E987" s="1" t="s">
        <v>994</v>
      </c>
      <c r="F987" s="2" t="s">
        <v>619</v>
      </c>
      <c r="G987" s="2">
        <v>23.18</v>
      </c>
      <c r="H987" s="2" t="str">
        <f t="shared" si="37"/>
        <v>W</v>
      </c>
      <c r="I987" s="5">
        <v>27.8</v>
      </c>
      <c r="J987" s="5">
        <f xml:space="preserve"> 0.000053908*(I987*10)^3.1746</f>
        <v>3093.9823281494391</v>
      </c>
      <c r="K987" s="5"/>
      <c r="L987" s="5">
        <v>11</v>
      </c>
      <c r="M987" s="2" t="s">
        <v>191</v>
      </c>
      <c r="N987" s="5">
        <v>44.1</v>
      </c>
      <c r="O987" s="5">
        <v>28.4</v>
      </c>
      <c r="P987" s="5">
        <f xml:space="preserve"> (0.763*N987) + (0.921*O987) - 37.744</f>
        <v>22.060699999999997</v>
      </c>
      <c r="Q987" s="2" t="s">
        <v>376</v>
      </c>
      <c r="R987" s="5">
        <f>P987*L987</f>
        <v>242.66769999999997</v>
      </c>
      <c r="S987" s="5">
        <f>(R987/J987)*100</f>
        <v>7.8432154505919058</v>
      </c>
      <c r="T987" s="9">
        <f>MEDIAN(2,3)</f>
        <v>2.5</v>
      </c>
      <c r="U987" s="2" t="str">
        <f>IF(T987&lt;=1, "1",IF(AND(T987&gt;1,T987&lt;4), "2-3", "+4"))</f>
        <v>2-3</v>
      </c>
      <c r="V987" s="5">
        <f>S987*2.5</f>
        <v>19.608038626479765</v>
      </c>
      <c r="W987" s="6" t="s">
        <v>2213</v>
      </c>
    </row>
    <row r="988" spans="1:23" x14ac:dyDescent="0.15">
      <c r="A988" s="2" t="s">
        <v>97</v>
      </c>
      <c r="B988" s="2" t="s">
        <v>3932</v>
      </c>
      <c r="C988" s="2" t="s">
        <v>990</v>
      </c>
      <c r="D988" s="2" t="s">
        <v>620</v>
      </c>
      <c r="E988" s="1" t="s">
        <v>994</v>
      </c>
      <c r="F988" s="2" t="s">
        <v>507</v>
      </c>
      <c r="G988" s="2">
        <v>23.18</v>
      </c>
      <c r="H988" s="2" t="str">
        <f t="shared" si="37"/>
        <v>W</v>
      </c>
      <c r="I988" s="5">
        <v>22.4</v>
      </c>
      <c r="J988" s="5">
        <v>1800</v>
      </c>
      <c r="K988" s="5"/>
      <c r="L988" s="5"/>
      <c r="M988" s="5" t="s">
        <v>191</v>
      </c>
      <c r="N988" s="5">
        <v>42.65</v>
      </c>
      <c r="O988" s="5">
        <v>26.9</v>
      </c>
      <c r="P988" s="5">
        <v>17.89</v>
      </c>
      <c r="Q988" s="2" t="s">
        <v>18</v>
      </c>
      <c r="R988" s="5"/>
      <c r="S988" s="5"/>
      <c r="V988" s="5"/>
      <c r="W988" s="6" t="s">
        <v>2418</v>
      </c>
    </row>
    <row r="989" spans="1:23" x14ac:dyDescent="0.15">
      <c r="A989" s="2" t="s">
        <v>97</v>
      </c>
      <c r="B989" s="2" t="s">
        <v>3932</v>
      </c>
      <c r="C989" s="2" t="s">
        <v>990</v>
      </c>
      <c r="D989" s="2" t="s">
        <v>620</v>
      </c>
      <c r="E989" s="1" t="s">
        <v>993</v>
      </c>
      <c r="F989" s="2" t="s">
        <v>502</v>
      </c>
      <c r="G989" s="2">
        <v>18.13</v>
      </c>
      <c r="H989" s="2" t="str">
        <f t="shared" si="37"/>
        <v>W</v>
      </c>
      <c r="I989" s="5">
        <v>29.22</v>
      </c>
      <c r="J989" s="5">
        <f xml:space="preserve"> 0.000053908*(I989*10)^3.1746</f>
        <v>3624.112072882825</v>
      </c>
      <c r="K989" s="5"/>
      <c r="L989" s="7">
        <f>MEDIAN(8,20)</f>
        <v>14</v>
      </c>
      <c r="M989" s="2" t="s">
        <v>191</v>
      </c>
      <c r="N989" s="5">
        <v>41</v>
      </c>
      <c r="O989" s="5">
        <v>28</v>
      </c>
      <c r="P989" s="5">
        <v>19.37</v>
      </c>
      <c r="Q989" s="2" t="s">
        <v>376</v>
      </c>
      <c r="R989" s="7">
        <f>MEDIAN(154.96,387.4)</f>
        <v>271.18</v>
      </c>
      <c r="S989" s="5">
        <f>(R989/J989)*100</f>
        <v>7.4826604295459331</v>
      </c>
      <c r="T989" s="9">
        <f>MEDIAN(2,3)</f>
        <v>2.5</v>
      </c>
      <c r="U989" s="2" t="str">
        <f>IF(T989&lt;=1, "1",IF(AND(T989&gt;1,T989&lt;4), "2-3", "+4"))</f>
        <v>2-3</v>
      </c>
      <c r="V989" s="5">
        <f>S989*T989</f>
        <v>18.706651073864833</v>
      </c>
      <c r="W989" s="6" t="s">
        <v>2974</v>
      </c>
    </row>
    <row r="990" spans="1:23" x14ac:dyDescent="0.15">
      <c r="A990" s="2" t="s">
        <v>97</v>
      </c>
      <c r="B990" s="2" t="s">
        <v>3932</v>
      </c>
      <c r="C990" s="2" t="s">
        <v>990</v>
      </c>
      <c r="D990" s="2" t="s">
        <v>620</v>
      </c>
      <c r="E990" s="1" t="s">
        <v>4066</v>
      </c>
      <c r="F990" s="2" t="s">
        <v>73</v>
      </c>
      <c r="G990" s="2">
        <v>10.57</v>
      </c>
      <c r="H990" s="2" t="str">
        <f t="shared" si="37"/>
        <v>W</v>
      </c>
      <c r="I990" s="5">
        <v>37.79</v>
      </c>
      <c r="J990" s="5">
        <f xml:space="preserve"> 0.000053908*(I990*10)^3.1746</f>
        <v>8199.6232983953505</v>
      </c>
      <c r="K990" s="5"/>
      <c r="L990" s="5">
        <v>20</v>
      </c>
      <c r="M990" s="2" t="s">
        <v>191</v>
      </c>
      <c r="N990" s="5">
        <v>45</v>
      </c>
      <c r="O990" s="5">
        <v>29.5</v>
      </c>
      <c r="P990" s="5">
        <v>23.76</v>
      </c>
      <c r="Q990" s="2" t="s">
        <v>376</v>
      </c>
      <c r="R990" s="5">
        <v>475.21</v>
      </c>
      <c r="S990" s="5">
        <f>(R990/J990)*100</f>
        <v>5.795510143654985</v>
      </c>
      <c r="T990" s="2" t="s">
        <v>2754</v>
      </c>
      <c r="U990" s="40" t="s">
        <v>395</v>
      </c>
      <c r="V990" s="5">
        <f>S990*2</f>
        <v>11.59102028730997</v>
      </c>
      <c r="W990" s="6" t="s">
        <v>3254</v>
      </c>
    </row>
    <row r="991" spans="1:23" x14ac:dyDescent="0.15">
      <c r="A991" s="4" t="s">
        <v>97</v>
      </c>
      <c r="B991" s="2" t="s">
        <v>3932</v>
      </c>
      <c r="C991" s="4" t="s">
        <v>990</v>
      </c>
      <c r="D991" s="4" t="s">
        <v>620</v>
      </c>
      <c r="E991" s="1" t="s">
        <v>4066</v>
      </c>
      <c r="F991" s="4" t="s">
        <v>200</v>
      </c>
      <c r="G991" s="4">
        <v>9.17</v>
      </c>
      <c r="H991" s="2" t="str">
        <f t="shared" si="37"/>
        <v>W</v>
      </c>
      <c r="I991" s="5">
        <v>31.937000000000001</v>
      </c>
      <c r="J991" s="5">
        <f xml:space="preserve"> 0.000053908*(I991*10)^3.1746</f>
        <v>4806.0172762488855</v>
      </c>
      <c r="K991" s="33">
        <v>6</v>
      </c>
      <c r="L991" s="5">
        <v>17.399999999999999</v>
      </c>
      <c r="M991" s="4" t="s">
        <v>191</v>
      </c>
      <c r="N991" s="5">
        <v>42.2</v>
      </c>
      <c r="O991" s="5">
        <v>28.8</v>
      </c>
      <c r="P991" s="5">
        <f xml:space="preserve"> 0.763* N991+ 0.921*O991 - 37.744</f>
        <v>20.979400000000012</v>
      </c>
      <c r="Q991" s="2" t="s">
        <v>376</v>
      </c>
      <c r="R991" s="5">
        <f>P991*L991</f>
        <v>365.04156000000017</v>
      </c>
      <c r="S991" s="5">
        <f>(R991/J991)*100</f>
        <v>7.5955107736299379</v>
      </c>
      <c r="T991" s="2" t="s">
        <v>634</v>
      </c>
      <c r="U991" s="40" t="s">
        <v>4047</v>
      </c>
      <c r="V991" s="5"/>
      <c r="W991" s="10" t="s">
        <v>1827</v>
      </c>
    </row>
    <row r="992" spans="1:23" x14ac:dyDescent="0.15">
      <c r="A992" s="2" t="s">
        <v>97</v>
      </c>
      <c r="B992" s="2" t="s">
        <v>3932</v>
      </c>
      <c r="C992" s="2" t="s">
        <v>990</v>
      </c>
      <c r="D992" s="2" t="s">
        <v>620</v>
      </c>
      <c r="E992" s="1" t="s">
        <v>4066</v>
      </c>
      <c r="F992" s="2" t="s">
        <v>854</v>
      </c>
      <c r="H992" s="2" t="s">
        <v>3887</v>
      </c>
      <c r="I992" s="5"/>
      <c r="J992" s="5"/>
      <c r="K992" s="5">
        <f>MEDIAN(5,7)</f>
        <v>6</v>
      </c>
      <c r="L992" s="5">
        <f>MEDIAN(4,30)</f>
        <v>17</v>
      </c>
      <c r="M992" s="2" t="s">
        <v>191</v>
      </c>
      <c r="N992" s="5">
        <v>37</v>
      </c>
      <c r="O992" s="5">
        <v>24</v>
      </c>
      <c r="P992" s="5">
        <f xml:space="preserve"> (0.763*N992) + (0.921*O992) - 37.744</f>
        <v>12.591000000000001</v>
      </c>
      <c r="Q992" s="2" t="s">
        <v>376</v>
      </c>
      <c r="R992" s="5">
        <f>P992*L992</f>
        <v>214.04700000000003</v>
      </c>
      <c r="S992" s="5"/>
      <c r="T992" s="2">
        <v>5</v>
      </c>
      <c r="U992" s="2" t="str">
        <f>IF(T992&lt;=1, "1",IF(AND(T992&gt;1,T992&lt;4), "2-3", "+4"))</f>
        <v>+4</v>
      </c>
      <c r="V992" s="5"/>
      <c r="W992" s="6" t="s">
        <v>2165</v>
      </c>
    </row>
    <row r="993" spans="1:23" x14ac:dyDescent="0.15">
      <c r="A993" s="2" t="s">
        <v>97</v>
      </c>
      <c r="B993" s="2" t="s">
        <v>3932</v>
      </c>
      <c r="C993" s="2" t="s">
        <v>990</v>
      </c>
      <c r="D993" s="2" t="s">
        <v>620</v>
      </c>
      <c r="E993" s="1" t="s">
        <v>993</v>
      </c>
      <c r="F993" s="2" t="s">
        <v>3350</v>
      </c>
      <c r="G993" s="2" t="s">
        <v>374</v>
      </c>
      <c r="H993" s="2" t="str">
        <f t="shared" si="37"/>
        <v>C</v>
      </c>
      <c r="I993" s="5">
        <v>23</v>
      </c>
      <c r="J993" s="5">
        <v>1384</v>
      </c>
      <c r="K993" s="7">
        <f>MEDIAN(4,7)</f>
        <v>5.5</v>
      </c>
      <c r="L993" s="7">
        <f>MEDIAN(4,17)</f>
        <v>10.5</v>
      </c>
      <c r="M993" s="2" t="s">
        <v>191</v>
      </c>
      <c r="N993" s="5">
        <v>35</v>
      </c>
      <c r="O993" s="5">
        <v>25</v>
      </c>
      <c r="P993" s="5">
        <v>13.5</v>
      </c>
      <c r="Q993" s="2" t="s">
        <v>18</v>
      </c>
      <c r="R993" s="5">
        <f>P993*L993</f>
        <v>141.75</v>
      </c>
      <c r="S993" s="5">
        <f>(R993/J993)*100</f>
        <v>10.242052023121387</v>
      </c>
      <c r="T993" s="2">
        <v>2</v>
      </c>
      <c r="U993" s="2" t="str">
        <f>IF(T993&lt;=1, "1",IF(AND(T993&gt;1,T993&lt;4), "2-3", "+4"))</f>
        <v>2-3</v>
      </c>
      <c r="V993" s="5">
        <f>S993*T993</f>
        <v>20.484104046242773</v>
      </c>
      <c r="W993" s="6" t="s">
        <v>3353</v>
      </c>
    </row>
    <row r="994" spans="1:23" x14ac:dyDescent="0.15">
      <c r="A994" s="2" t="s">
        <v>97</v>
      </c>
      <c r="B994" s="2" t="s">
        <v>3932</v>
      </c>
      <c r="C994" s="2" t="s">
        <v>990</v>
      </c>
      <c r="D994" s="2" t="s">
        <v>620</v>
      </c>
      <c r="E994" s="1" t="s">
        <v>993</v>
      </c>
      <c r="F994" s="2" t="s">
        <v>201</v>
      </c>
      <c r="G994" s="2">
        <v>18</v>
      </c>
      <c r="H994" s="2" t="str">
        <f t="shared" si="37"/>
        <v>W</v>
      </c>
      <c r="I994" s="5">
        <v>23.6</v>
      </c>
      <c r="J994" s="5">
        <v>1813</v>
      </c>
      <c r="K994" s="5"/>
      <c r="L994" s="5">
        <v>12.03</v>
      </c>
      <c r="M994" s="2" t="s">
        <v>191</v>
      </c>
      <c r="N994" s="5">
        <f>(P994+37.774-(0.921*O994))/0.763</f>
        <v>37.666317169069465</v>
      </c>
      <c r="O994" s="5">
        <v>22.6</v>
      </c>
      <c r="P994" s="5">
        <v>11.78</v>
      </c>
      <c r="Q994" s="2" t="s">
        <v>18</v>
      </c>
      <c r="R994" s="5">
        <v>143.80000000000001</v>
      </c>
      <c r="S994" s="5">
        <f>(R994/J994)*100</f>
        <v>7.931605074462218</v>
      </c>
      <c r="T994" s="2">
        <v>3.5</v>
      </c>
      <c r="U994" s="2" t="str">
        <f>IF(T994&lt;=1, "1",IF(AND(T994&gt;1,T994&lt;4), "2-3", "+4"))</f>
        <v>2-3</v>
      </c>
      <c r="V994" s="5">
        <f>S994*T994</f>
        <v>27.760617760617762</v>
      </c>
      <c r="W994" s="6" t="s">
        <v>1993</v>
      </c>
    </row>
    <row r="995" spans="1:23" x14ac:dyDescent="0.15">
      <c r="A995" s="2" t="s">
        <v>97</v>
      </c>
      <c r="B995" s="2" t="s">
        <v>3932</v>
      </c>
      <c r="C995" s="2" t="s">
        <v>990</v>
      </c>
      <c r="D995" s="2" t="s">
        <v>620</v>
      </c>
      <c r="E995" s="1" t="s">
        <v>993</v>
      </c>
      <c r="F995" s="2" t="s">
        <v>621</v>
      </c>
      <c r="G995" s="2">
        <v>18.170000000000002</v>
      </c>
      <c r="H995" s="2" t="str">
        <f t="shared" si="37"/>
        <v>W</v>
      </c>
      <c r="I995" s="5"/>
      <c r="J995" s="5"/>
      <c r="K995" s="5"/>
      <c r="L995" s="5">
        <v>10.3</v>
      </c>
      <c r="M995" s="2" t="s">
        <v>191</v>
      </c>
      <c r="N995" s="5">
        <v>40.299999999999997</v>
      </c>
      <c r="O995" s="5">
        <v>23.7</v>
      </c>
      <c r="P995" s="5">
        <v>13.28</v>
      </c>
      <c r="Q995" s="2" t="s">
        <v>18</v>
      </c>
      <c r="R995" s="5">
        <v>129.30000000000001</v>
      </c>
      <c r="S995" s="5"/>
      <c r="T995" s="7"/>
      <c r="U995" s="7"/>
      <c r="V995" s="5"/>
      <c r="W995" s="6" t="s">
        <v>2416</v>
      </c>
    </row>
    <row r="996" spans="1:23" x14ac:dyDescent="0.15">
      <c r="A996" s="2" t="s">
        <v>97</v>
      </c>
      <c r="B996" s="2" t="s">
        <v>3932</v>
      </c>
      <c r="C996" s="2" t="s">
        <v>990</v>
      </c>
      <c r="D996" s="2" t="s">
        <v>723</v>
      </c>
      <c r="E996" s="1"/>
      <c r="F996" s="2" t="s">
        <v>4476</v>
      </c>
      <c r="G996" s="2">
        <v>27.58</v>
      </c>
      <c r="H996" s="2" t="str">
        <f t="shared" si="37"/>
        <v>W</v>
      </c>
      <c r="I996" s="5">
        <v>28.4</v>
      </c>
      <c r="J996" s="5">
        <v>3311</v>
      </c>
      <c r="K996" s="5"/>
      <c r="L996" s="5"/>
      <c r="M996" s="2" t="s">
        <v>191</v>
      </c>
      <c r="N996" s="5"/>
      <c r="O996" s="5"/>
      <c r="P996" s="5"/>
      <c r="R996" s="5"/>
      <c r="S996" s="5"/>
      <c r="T996" s="9" t="s">
        <v>431</v>
      </c>
      <c r="U996" s="9" t="s">
        <v>395</v>
      </c>
      <c r="V996" s="5"/>
      <c r="W996" s="6" t="s">
        <v>2213</v>
      </c>
    </row>
    <row r="997" spans="1:23" ht="15" customHeight="1" x14ac:dyDescent="0.15">
      <c r="A997" s="2" t="s">
        <v>202</v>
      </c>
      <c r="B997" s="2" t="s">
        <v>3935</v>
      </c>
      <c r="C997" s="2" t="s">
        <v>926</v>
      </c>
      <c r="D997" s="2" t="s">
        <v>724</v>
      </c>
      <c r="E997" s="1" t="s">
        <v>3725</v>
      </c>
      <c r="F997" s="2" t="s">
        <v>203</v>
      </c>
      <c r="G997" s="2">
        <v>5.62</v>
      </c>
      <c r="H997" s="2" t="str">
        <f t="shared" si="37"/>
        <v>W</v>
      </c>
      <c r="I997" s="5"/>
      <c r="J997" s="5"/>
      <c r="K997" s="5"/>
      <c r="L997" s="5">
        <v>26.9</v>
      </c>
      <c r="M997" s="4" t="s">
        <v>571</v>
      </c>
      <c r="N997" s="5"/>
      <c r="O997" s="5"/>
      <c r="P997" s="5"/>
      <c r="R997" s="5"/>
      <c r="S997" s="5"/>
      <c r="V997" s="5"/>
      <c r="W997" s="6" t="s">
        <v>1994</v>
      </c>
    </row>
    <row r="998" spans="1:23" x14ac:dyDescent="0.15">
      <c r="A998" s="2" t="s">
        <v>202</v>
      </c>
      <c r="B998" s="2" t="s">
        <v>3935</v>
      </c>
      <c r="C998" s="2" t="s">
        <v>926</v>
      </c>
      <c r="D998" s="2" t="s">
        <v>724</v>
      </c>
      <c r="E998" s="1" t="s">
        <v>4465</v>
      </c>
      <c r="F998" s="2" t="s">
        <v>2433</v>
      </c>
      <c r="H998" s="2" t="s">
        <v>3887</v>
      </c>
      <c r="I998" s="5"/>
      <c r="J998" s="5"/>
      <c r="K998" s="5"/>
      <c r="L998" s="5"/>
      <c r="M998" s="4" t="s">
        <v>571</v>
      </c>
      <c r="N998" s="5"/>
      <c r="O998" s="5"/>
      <c r="P998" s="5">
        <v>84.5</v>
      </c>
      <c r="Q998" s="2" t="s">
        <v>18</v>
      </c>
      <c r="R998" s="5"/>
      <c r="S998" s="5"/>
      <c r="V998" s="5"/>
      <c r="W998" s="6" t="s">
        <v>1998</v>
      </c>
    </row>
    <row r="999" spans="1:23" x14ac:dyDescent="0.15">
      <c r="A999" s="2" t="s">
        <v>202</v>
      </c>
      <c r="B999" s="2" t="s">
        <v>3935</v>
      </c>
      <c r="C999" s="2" t="s">
        <v>926</v>
      </c>
      <c r="D999" s="2" t="s">
        <v>724</v>
      </c>
      <c r="E999" s="1" t="s">
        <v>3725</v>
      </c>
      <c r="F999" s="4" t="s">
        <v>203</v>
      </c>
      <c r="H999" s="2" t="s">
        <v>3887</v>
      </c>
      <c r="I999" s="5"/>
      <c r="J999" s="5"/>
      <c r="K999" s="5"/>
      <c r="L999" s="5">
        <v>26</v>
      </c>
      <c r="M999" s="4" t="s">
        <v>571</v>
      </c>
      <c r="N999" s="5"/>
      <c r="O999" s="5">
        <v>41</v>
      </c>
      <c r="P999" s="5">
        <v>64</v>
      </c>
      <c r="Q999" s="2" t="s">
        <v>18</v>
      </c>
      <c r="R999" s="5">
        <f>P999*L999</f>
        <v>1664</v>
      </c>
      <c r="S999" s="5"/>
      <c r="T999" s="2" t="s">
        <v>122</v>
      </c>
      <c r="V999" s="5"/>
      <c r="W999" s="6" t="s">
        <v>1995</v>
      </c>
    </row>
    <row r="1000" spans="1:23" x14ac:dyDescent="0.15">
      <c r="A1000" s="2" t="s">
        <v>202</v>
      </c>
      <c r="B1000" s="2" t="s">
        <v>3935</v>
      </c>
      <c r="C1000" s="2" t="s">
        <v>926</v>
      </c>
      <c r="D1000" s="2" t="s">
        <v>724</v>
      </c>
      <c r="E1000" s="1" t="s">
        <v>3725</v>
      </c>
      <c r="F1000" s="4" t="s">
        <v>2433</v>
      </c>
      <c r="H1000" s="2" t="s">
        <v>3887</v>
      </c>
      <c r="I1000" s="5">
        <v>54.5</v>
      </c>
      <c r="J1000" s="5">
        <v>26900</v>
      </c>
      <c r="K1000" s="5">
        <v>14</v>
      </c>
      <c r="L1000" s="5">
        <v>9</v>
      </c>
      <c r="M1000" s="4" t="s">
        <v>571</v>
      </c>
      <c r="N1000" s="5"/>
      <c r="O1000" s="5"/>
      <c r="P1000" s="5"/>
      <c r="R1000" s="5"/>
      <c r="S1000" s="5"/>
      <c r="V1000" s="5"/>
      <c r="W1000" s="6" t="s">
        <v>4110</v>
      </c>
    </row>
    <row r="1001" spans="1:23" x14ac:dyDescent="0.15">
      <c r="A1001" s="2" t="s">
        <v>202</v>
      </c>
      <c r="B1001" s="2" t="s">
        <v>3935</v>
      </c>
      <c r="C1001" s="2" t="s">
        <v>926</v>
      </c>
      <c r="D1001" s="2" t="s">
        <v>577</v>
      </c>
      <c r="E1001" s="1"/>
      <c r="F1001" s="2" t="s">
        <v>204</v>
      </c>
      <c r="G1001" s="2">
        <v>21.62</v>
      </c>
      <c r="H1001" s="2" t="str">
        <f t="shared" si="37"/>
        <v>W</v>
      </c>
      <c r="I1001" s="5">
        <v>50</v>
      </c>
      <c r="J1001" s="5">
        <v>17000</v>
      </c>
      <c r="K1001" s="5"/>
      <c r="L1001" s="5"/>
      <c r="M1001" s="2" t="s">
        <v>47</v>
      </c>
      <c r="N1001" s="5"/>
      <c r="O1001" s="5"/>
      <c r="P1001" s="5"/>
      <c r="R1001" s="5"/>
      <c r="S1001" s="5"/>
      <c r="V1001" s="5"/>
      <c r="W1001" s="6" t="s">
        <v>2463</v>
      </c>
    </row>
    <row r="1002" spans="1:23" x14ac:dyDescent="0.15">
      <c r="A1002" s="2" t="s">
        <v>202</v>
      </c>
      <c r="B1002" s="2" t="s">
        <v>3935</v>
      </c>
      <c r="C1002" s="2" t="s">
        <v>926</v>
      </c>
      <c r="D1002" s="2" t="s">
        <v>577</v>
      </c>
      <c r="E1002" s="1"/>
      <c r="F1002" s="2" t="s">
        <v>374</v>
      </c>
      <c r="G1002" s="2" t="s">
        <v>374</v>
      </c>
      <c r="H1002" s="2" t="str">
        <f t="shared" si="37"/>
        <v>C</v>
      </c>
      <c r="I1002" s="5">
        <v>48.1</v>
      </c>
      <c r="J1002" s="5">
        <v>30000</v>
      </c>
      <c r="K1002" s="5"/>
      <c r="L1002" s="5">
        <v>33</v>
      </c>
      <c r="M1002" s="2" t="s">
        <v>47</v>
      </c>
      <c r="N1002" s="5"/>
      <c r="O1002" s="5"/>
      <c r="P1002" s="5"/>
      <c r="R1002" s="5"/>
      <c r="S1002" s="5"/>
      <c r="V1002" s="5"/>
      <c r="W1002" s="6" t="s">
        <v>2421</v>
      </c>
    </row>
    <row r="1003" spans="1:23" x14ac:dyDescent="0.15">
      <c r="A1003" s="2" t="s">
        <v>202</v>
      </c>
      <c r="B1003" s="2" t="s">
        <v>3935</v>
      </c>
      <c r="C1003" s="2" t="s">
        <v>926</v>
      </c>
      <c r="D1003" s="2" t="s">
        <v>577</v>
      </c>
      <c r="E1003" s="1"/>
      <c r="F1003" s="2" t="s">
        <v>438</v>
      </c>
      <c r="G1003" s="2">
        <v>22</v>
      </c>
      <c r="H1003" s="2" t="str">
        <f t="shared" ref="H1003:H1069" si="41">IF(G1003="captive","C","W")</f>
        <v>W</v>
      </c>
      <c r="I1003" s="5"/>
      <c r="J1003" s="5"/>
      <c r="K1003" s="5"/>
      <c r="L1003" s="7">
        <f>MEDIAN(5,38)</f>
        <v>21.5</v>
      </c>
      <c r="M1003" s="2" t="s">
        <v>47</v>
      </c>
      <c r="N1003" s="7">
        <v>65</v>
      </c>
      <c r="O1003" s="5">
        <v>40</v>
      </c>
      <c r="P1003" s="5">
        <v>64</v>
      </c>
      <c r="Q1003" s="2" t="s">
        <v>18</v>
      </c>
      <c r="R1003" s="5">
        <f>P1003*L1003</f>
        <v>1376</v>
      </c>
      <c r="S1003" s="5"/>
      <c r="T1003" s="2">
        <v>3</v>
      </c>
      <c r="U1003" s="2" t="str">
        <f>IF(T1003&lt;=1, "1",IF(AND(T1003&gt;1,T1003&lt;4), "2-3", "+4"))</f>
        <v>2-3</v>
      </c>
      <c r="V1003" s="5"/>
      <c r="W1003" s="6" t="s">
        <v>2419</v>
      </c>
    </row>
    <row r="1004" spans="1:23" x14ac:dyDescent="0.15">
      <c r="A1004" s="2" t="s">
        <v>202</v>
      </c>
      <c r="B1004" s="2" t="s">
        <v>3935</v>
      </c>
      <c r="C1004" s="2" t="s">
        <v>926</v>
      </c>
      <c r="D1004" s="2" t="s">
        <v>577</v>
      </c>
      <c r="E1004" s="1"/>
      <c r="F1004" s="2" t="s">
        <v>3920</v>
      </c>
      <c r="G1004" s="2">
        <v>22</v>
      </c>
      <c r="H1004" s="2" t="str">
        <f t="shared" si="41"/>
        <v>W</v>
      </c>
      <c r="I1004" s="5"/>
      <c r="J1004" s="5"/>
      <c r="K1004" s="5"/>
      <c r="L1004" s="5">
        <f>MEDIAN(19,37)</f>
        <v>28</v>
      </c>
      <c r="M1004" s="2" t="s">
        <v>47</v>
      </c>
      <c r="N1004" s="5">
        <v>68</v>
      </c>
      <c r="O1004" s="5">
        <v>40</v>
      </c>
      <c r="P1004" s="5">
        <v>70</v>
      </c>
      <c r="Q1004" s="2" t="s">
        <v>18</v>
      </c>
      <c r="R1004" s="5">
        <f>P1004*L1004</f>
        <v>1960</v>
      </c>
      <c r="S1004" s="5"/>
      <c r="V1004" s="5"/>
      <c r="W1004" s="6" t="s">
        <v>2419</v>
      </c>
    </row>
    <row r="1005" spans="1:23" x14ac:dyDescent="0.15">
      <c r="A1005" s="2" t="s">
        <v>202</v>
      </c>
      <c r="B1005" s="2" t="s">
        <v>3935</v>
      </c>
      <c r="C1005" s="2" t="s">
        <v>926</v>
      </c>
      <c r="D1005" s="2" t="s">
        <v>577</v>
      </c>
      <c r="E1005" s="1"/>
      <c r="F1005" s="2" t="s">
        <v>3920</v>
      </c>
      <c r="G1005" s="2">
        <v>21.75</v>
      </c>
      <c r="H1005" s="2" t="str">
        <f t="shared" si="41"/>
        <v>W</v>
      </c>
      <c r="I1005" s="5"/>
      <c r="J1005" s="5"/>
      <c r="K1005" s="5"/>
      <c r="L1005" s="7">
        <v>29.33</v>
      </c>
      <c r="M1005" s="2" t="s">
        <v>47</v>
      </c>
      <c r="N1005" s="7">
        <v>68</v>
      </c>
      <c r="O1005" s="5">
        <v>40</v>
      </c>
      <c r="P1005" s="5">
        <v>70</v>
      </c>
      <c r="Q1005" s="2" t="s">
        <v>18</v>
      </c>
      <c r="R1005" s="5">
        <f>P1005*L1005</f>
        <v>2053.1</v>
      </c>
      <c r="S1005" s="5"/>
      <c r="V1005" s="5"/>
      <c r="W1005" s="6" t="s">
        <v>2420</v>
      </c>
    </row>
    <row r="1006" spans="1:23" x14ac:dyDescent="0.15">
      <c r="A1006" s="2" t="s">
        <v>202</v>
      </c>
      <c r="B1006" s="2" t="s">
        <v>3935</v>
      </c>
      <c r="C1006" s="2" t="s">
        <v>926</v>
      </c>
      <c r="D1006" s="2" t="s">
        <v>577</v>
      </c>
      <c r="E1006" s="1"/>
      <c r="F1006" s="2" t="s">
        <v>203</v>
      </c>
      <c r="G1006" s="2">
        <v>5.3</v>
      </c>
      <c r="H1006" s="2" t="str">
        <f t="shared" si="41"/>
        <v>W</v>
      </c>
      <c r="I1006" s="5">
        <v>48.83</v>
      </c>
      <c r="J1006" s="5">
        <v>17967</v>
      </c>
      <c r="K1006" s="5">
        <v>25</v>
      </c>
      <c r="L1006" s="5">
        <v>26.4</v>
      </c>
      <c r="M1006" s="2" t="s">
        <v>47</v>
      </c>
      <c r="N1006" s="5">
        <v>65.78</v>
      </c>
      <c r="O1006" s="5">
        <v>40.53</v>
      </c>
      <c r="P1006" s="5">
        <v>61.16</v>
      </c>
      <c r="Q1006" s="2" t="s">
        <v>18</v>
      </c>
      <c r="R1006" s="5">
        <v>1693.8</v>
      </c>
      <c r="S1006" s="5">
        <v>9.43</v>
      </c>
      <c r="T1006" s="2">
        <v>3</v>
      </c>
      <c r="U1006" s="2" t="str">
        <f>IF(T1006&lt;=1, "1",IF(AND(T1006&gt;1,T1006&lt;4), "2-3", "+4"))</f>
        <v>2-3</v>
      </c>
      <c r="V1006" s="5">
        <f>S1006*T1006</f>
        <v>28.29</v>
      </c>
      <c r="W1006" s="6" t="s">
        <v>3870</v>
      </c>
    </row>
    <row r="1007" spans="1:23" x14ac:dyDescent="0.15">
      <c r="A1007" s="2" t="s">
        <v>202</v>
      </c>
      <c r="B1007" s="2" t="s">
        <v>3935</v>
      </c>
      <c r="C1007" s="2" t="s">
        <v>926</v>
      </c>
      <c r="D1007" s="2" t="s">
        <v>577</v>
      </c>
      <c r="E1007" s="1"/>
      <c r="F1007" s="2" t="s">
        <v>203</v>
      </c>
      <c r="G1007" s="1" t="s">
        <v>374</v>
      </c>
      <c r="H1007" s="2" t="str">
        <f t="shared" si="41"/>
        <v>C</v>
      </c>
      <c r="I1007" s="5"/>
      <c r="J1007" s="5"/>
      <c r="K1007" s="5">
        <v>9</v>
      </c>
      <c r="L1007" s="5"/>
      <c r="M1007" s="2" t="s">
        <v>47</v>
      </c>
      <c r="N1007" s="5"/>
      <c r="O1007" s="5"/>
      <c r="P1007" s="5"/>
      <c r="R1007" s="5"/>
      <c r="S1007" s="5"/>
      <c r="V1007" s="5"/>
      <c r="W1007" s="6" t="s">
        <v>1995</v>
      </c>
    </row>
    <row r="1008" spans="1:23" x14ac:dyDescent="0.15">
      <c r="A1008" s="1" t="s">
        <v>202</v>
      </c>
      <c r="B1008" s="2" t="s">
        <v>3935</v>
      </c>
      <c r="C1008" s="2" t="s">
        <v>926</v>
      </c>
      <c r="D1008" s="1" t="s">
        <v>577</v>
      </c>
      <c r="E1008" s="1"/>
      <c r="F1008" s="1" t="s">
        <v>218</v>
      </c>
      <c r="G1008" s="1" t="s">
        <v>374</v>
      </c>
      <c r="H1008" s="2" t="str">
        <f t="shared" si="41"/>
        <v>C</v>
      </c>
      <c r="I1008" s="8">
        <v>47.34</v>
      </c>
      <c r="J1008" s="8">
        <v>21000</v>
      </c>
      <c r="K1008" s="8"/>
      <c r="L1008" s="8">
        <v>18.399999999999999</v>
      </c>
      <c r="M1008" s="1" t="s">
        <v>47</v>
      </c>
      <c r="N1008" s="8">
        <v>64.959999999999994</v>
      </c>
      <c r="O1008" s="8">
        <v>40</v>
      </c>
      <c r="P1008" s="8">
        <v>63.195999999999998</v>
      </c>
      <c r="Q1008" s="1" t="s">
        <v>376</v>
      </c>
      <c r="R1008" s="8">
        <v>1162.8</v>
      </c>
      <c r="S1008" s="8">
        <v>5.54</v>
      </c>
      <c r="T1008" s="1"/>
      <c r="U1008" s="1"/>
      <c r="V1008" s="8"/>
      <c r="W1008" s="6" t="s">
        <v>3622</v>
      </c>
    </row>
    <row r="1009" spans="1:23" x14ac:dyDescent="0.15">
      <c r="A1009" s="2" t="s">
        <v>202</v>
      </c>
      <c r="B1009" s="2" t="s">
        <v>3935</v>
      </c>
      <c r="C1009" s="2" t="s">
        <v>926</v>
      </c>
      <c r="D1009" s="2" t="s">
        <v>577</v>
      </c>
      <c r="E1009" s="1"/>
      <c r="F1009" s="2" t="s">
        <v>2433</v>
      </c>
      <c r="G1009" s="2">
        <v>12.85</v>
      </c>
      <c r="H1009" s="2" t="str">
        <f t="shared" si="41"/>
        <v>W</v>
      </c>
      <c r="I1009" s="5">
        <v>52.8</v>
      </c>
      <c r="J1009" s="5">
        <f xml:space="preserve"> (0.067*(I1009*10) - 16.89)*1000</f>
        <v>18486.000000000004</v>
      </c>
      <c r="K1009" s="5"/>
      <c r="L1009" s="5">
        <v>38</v>
      </c>
      <c r="M1009" s="2" t="s">
        <v>47</v>
      </c>
      <c r="N1009" s="5"/>
      <c r="O1009" s="5"/>
      <c r="P1009" s="5"/>
      <c r="R1009" s="5"/>
      <c r="S1009" s="5"/>
      <c r="V1009" s="5"/>
      <c r="W1009" s="6" t="s">
        <v>3436</v>
      </c>
    </row>
    <row r="1010" spans="1:23" x14ac:dyDescent="0.15">
      <c r="A1010" s="2" t="s">
        <v>202</v>
      </c>
      <c r="B1010" s="2" t="s">
        <v>3935</v>
      </c>
      <c r="C1010" s="2" t="s">
        <v>926</v>
      </c>
      <c r="D1010" s="2" t="s">
        <v>577</v>
      </c>
      <c r="E1010" s="1"/>
      <c r="F1010" s="2" t="s">
        <v>218</v>
      </c>
      <c r="G1010" s="2">
        <v>22.12</v>
      </c>
      <c r="H1010" s="2" t="str">
        <f t="shared" si="41"/>
        <v>W</v>
      </c>
      <c r="I1010" s="5"/>
      <c r="J1010" s="5"/>
      <c r="K1010" s="5"/>
      <c r="L1010" s="5">
        <v>30.8</v>
      </c>
      <c r="M1010" s="2" t="s">
        <v>47</v>
      </c>
      <c r="N1010" s="5">
        <v>72.2</v>
      </c>
      <c r="O1010" s="5">
        <v>39.07</v>
      </c>
      <c r="P1010" s="5">
        <v>70.75</v>
      </c>
      <c r="Q1010" s="2" t="s">
        <v>18</v>
      </c>
      <c r="R1010" s="5">
        <v>2179.1</v>
      </c>
      <c r="S1010" s="5"/>
      <c r="V1010" s="5"/>
      <c r="W1010" s="6" t="s">
        <v>2422</v>
      </c>
    </row>
    <row r="1011" spans="1:23" x14ac:dyDescent="0.15">
      <c r="A1011" s="2" t="s">
        <v>202</v>
      </c>
      <c r="B1011" s="2" t="s">
        <v>3935</v>
      </c>
      <c r="C1011" s="2" t="s">
        <v>926</v>
      </c>
      <c r="D1011" s="2" t="s">
        <v>577</v>
      </c>
      <c r="E1011" s="1"/>
      <c r="F1011" s="2" t="s">
        <v>374</v>
      </c>
      <c r="G1011" s="2" t="s">
        <v>374</v>
      </c>
      <c r="H1011" s="2" t="str">
        <f t="shared" si="41"/>
        <v>C</v>
      </c>
      <c r="I1011" s="5"/>
      <c r="J1011" s="5"/>
      <c r="K1011" s="5"/>
      <c r="L1011" s="5">
        <v>15</v>
      </c>
      <c r="M1011" s="2" t="s">
        <v>47</v>
      </c>
      <c r="N1011" s="5"/>
      <c r="O1011" s="5"/>
      <c r="P1011" s="5"/>
      <c r="R1011" s="5"/>
      <c r="S1011" s="5"/>
      <c r="V1011" s="5"/>
      <c r="W1011" s="6" t="s">
        <v>2462</v>
      </c>
    </row>
    <row r="1012" spans="1:23" x14ac:dyDescent="0.15">
      <c r="A1012" s="2" t="s">
        <v>202</v>
      </c>
      <c r="B1012" s="2" t="s">
        <v>3935</v>
      </c>
      <c r="C1012" s="2" t="s">
        <v>926</v>
      </c>
      <c r="D1012" s="2" t="s">
        <v>577</v>
      </c>
      <c r="E1012" s="1"/>
      <c r="F1012" s="2" t="s">
        <v>218</v>
      </c>
      <c r="G1012" s="2" t="s">
        <v>374</v>
      </c>
      <c r="H1012" s="2" t="str">
        <f t="shared" si="41"/>
        <v>C</v>
      </c>
      <c r="I1012" s="5">
        <v>51.25</v>
      </c>
      <c r="J1012" s="5">
        <v>20930</v>
      </c>
      <c r="K1012" s="5"/>
      <c r="L1012" s="5">
        <v>22.5</v>
      </c>
      <c r="M1012" s="2" t="s">
        <v>47</v>
      </c>
      <c r="N1012" s="5">
        <v>71</v>
      </c>
      <c r="O1012" s="5">
        <v>41.5</v>
      </c>
      <c r="P1012" s="5">
        <v>77</v>
      </c>
      <c r="Q1012" s="2" t="s">
        <v>18</v>
      </c>
      <c r="R1012" s="5">
        <v>1732.5</v>
      </c>
      <c r="S1012" s="5">
        <v>8.2799999999999994</v>
      </c>
      <c r="V1012" s="5"/>
      <c r="W1012" s="6" t="s">
        <v>2423</v>
      </c>
    </row>
    <row r="1013" spans="1:23" x14ac:dyDescent="0.15">
      <c r="A1013" s="2" t="s">
        <v>202</v>
      </c>
      <c r="B1013" s="2" t="s">
        <v>3935</v>
      </c>
      <c r="C1013" s="2" t="s">
        <v>926</v>
      </c>
      <c r="D1013" s="2" t="s">
        <v>725</v>
      </c>
      <c r="E1013" s="1"/>
      <c r="F1013" s="2" t="s">
        <v>459</v>
      </c>
      <c r="G1013" s="2">
        <v>4.2300000000000004</v>
      </c>
      <c r="H1013" s="2" t="str">
        <f t="shared" si="41"/>
        <v>W</v>
      </c>
      <c r="I1013" s="5">
        <v>45.66</v>
      </c>
      <c r="J1013" s="5">
        <v>13600</v>
      </c>
      <c r="K1013" s="5"/>
      <c r="L1013" s="5">
        <v>14.67</v>
      </c>
      <c r="M1013" s="4" t="s">
        <v>571</v>
      </c>
      <c r="N1013" s="5">
        <v>68</v>
      </c>
      <c r="O1013" s="5"/>
      <c r="P1013" s="5">
        <v>66</v>
      </c>
      <c r="Q1013" s="2" t="s">
        <v>18</v>
      </c>
      <c r="R1013" s="5">
        <f>P1013*L1013</f>
        <v>968.22</v>
      </c>
      <c r="S1013" s="5">
        <f>(R1013/J1013)*100</f>
        <v>7.1192647058823528</v>
      </c>
      <c r="V1013" s="5"/>
      <c r="W1013" s="6" t="s">
        <v>3908</v>
      </c>
    </row>
    <row r="1014" spans="1:23" x14ac:dyDescent="0.15">
      <c r="A1014" s="2" t="s">
        <v>202</v>
      </c>
      <c r="B1014" s="2" t="s">
        <v>3935</v>
      </c>
      <c r="C1014" s="2" t="s">
        <v>926</v>
      </c>
      <c r="D1014" s="2" t="s">
        <v>725</v>
      </c>
      <c r="E1014" s="1"/>
      <c r="F1014" s="2" t="s">
        <v>492</v>
      </c>
      <c r="G1014" s="2">
        <v>3.78</v>
      </c>
      <c r="H1014" s="2" t="str">
        <f t="shared" si="41"/>
        <v>W</v>
      </c>
      <c r="I1014" s="5">
        <v>48</v>
      </c>
      <c r="J1014" s="5">
        <f>(0.067*(I1014*10) - 16.89)*1000</f>
        <v>15270.000000000004</v>
      </c>
      <c r="K1014" s="5"/>
      <c r="L1014" s="5">
        <v>20</v>
      </c>
      <c r="M1014" s="4" t="s">
        <v>571</v>
      </c>
      <c r="N1014" s="5">
        <v>64.42</v>
      </c>
      <c r="O1014" s="5">
        <v>37.75</v>
      </c>
      <c r="P1014" s="5">
        <v>51.22</v>
      </c>
      <c r="Q1014" s="2" t="s">
        <v>18</v>
      </c>
      <c r="R1014" s="5">
        <v>1024.3</v>
      </c>
      <c r="S1014" s="5">
        <f>(R1014/J1014)*100</f>
        <v>6.7079240340536987</v>
      </c>
      <c r="V1014" s="5"/>
      <c r="W1014" s="6" t="s">
        <v>3242</v>
      </c>
    </row>
    <row r="1015" spans="1:23" x14ac:dyDescent="0.15">
      <c r="A1015" s="2" t="s">
        <v>202</v>
      </c>
      <c r="B1015" s="2" t="s">
        <v>3935</v>
      </c>
      <c r="C1015" s="2" t="s">
        <v>926</v>
      </c>
      <c r="D1015" s="2" t="s">
        <v>725</v>
      </c>
      <c r="E1015" s="1"/>
      <c r="F1015" s="2" t="s">
        <v>203</v>
      </c>
      <c r="G1015" s="2">
        <v>6</v>
      </c>
      <c r="H1015" s="2" t="str">
        <f t="shared" si="41"/>
        <v>W</v>
      </c>
      <c r="I1015" s="5">
        <v>46.6</v>
      </c>
      <c r="J1015" s="5">
        <v>17599</v>
      </c>
      <c r="K1015" s="5"/>
      <c r="L1015" s="5">
        <v>11</v>
      </c>
      <c r="M1015" s="4" t="s">
        <v>571</v>
      </c>
      <c r="N1015" s="5">
        <v>70</v>
      </c>
      <c r="O1015" s="5">
        <v>41</v>
      </c>
      <c r="P1015" s="5">
        <v>72.64</v>
      </c>
      <c r="Q1015" s="2" t="s">
        <v>18</v>
      </c>
      <c r="R1015" s="5">
        <v>799</v>
      </c>
      <c r="S1015" s="5">
        <f>(R1015/J1015)*100</f>
        <v>4.5400306835615662</v>
      </c>
      <c r="T1015" s="2">
        <v>1</v>
      </c>
      <c r="U1015" s="2" t="str">
        <f>IF(T1015&lt;=1, "1",IF(AND(T1015&gt;1,T1015&lt;4), "2-3", "+4"))</f>
        <v>1</v>
      </c>
      <c r="V1015" s="5">
        <f>S1015*T1015</f>
        <v>4.5400306835615662</v>
      </c>
      <c r="W1015" s="6" t="s">
        <v>2417</v>
      </c>
    </row>
    <row r="1016" spans="1:23" x14ac:dyDescent="0.15">
      <c r="A1016" s="2" t="s">
        <v>202</v>
      </c>
      <c r="B1016" s="2" t="s">
        <v>3935</v>
      </c>
      <c r="C1016" s="2" t="s">
        <v>926</v>
      </c>
      <c r="D1016" s="2" t="s">
        <v>578</v>
      </c>
      <c r="E1016" s="1"/>
      <c r="F1016" s="2" t="s">
        <v>204</v>
      </c>
      <c r="H1016" s="2" t="s">
        <v>3887</v>
      </c>
      <c r="I1016" s="5">
        <v>42.6</v>
      </c>
      <c r="J1016" s="5">
        <v>6650</v>
      </c>
      <c r="K1016" s="5"/>
      <c r="L1016" s="7">
        <v>26.2</v>
      </c>
      <c r="M1016" s="2" t="s">
        <v>47</v>
      </c>
      <c r="N1016" s="7">
        <v>57.3</v>
      </c>
      <c r="O1016" s="5">
        <v>35.9</v>
      </c>
      <c r="P1016" s="5">
        <v>43.7</v>
      </c>
      <c r="Q1016" s="2" t="s">
        <v>18</v>
      </c>
      <c r="R1016" s="5">
        <v>1144.94</v>
      </c>
      <c r="S1016" s="5">
        <v>12.8</v>
      </c>
      <c r="V1016" s="5"/>
      <c r="W1016" s="6" t="s">
        <v>2460</v>
      </c>
    </row>
    <row r="1017" spans="1:23" x14ac:dyDescent="0.15">
      <c r="A1017" s="2" t="s">
        <v>202</v>
      </c>
      <c r="B1017" s="2" t="s">
        <v>3935</v>
      </c>
      <c r="C1017" s="2" t="s">
        <v>926</v>
      </c>
      <c r="D1017" s="2" t="s">
        <v>578</v>
      </c>
      <c r="E1017" s="1"/>
      <c r="F1017" s="2" t="s">
        <v>204</v>
      </c>
      <c r="G1017" s="2">
        <v>27</v>
      </c>
      <c r="H1017" s="2" t="str">
        <f t="shared" si="41"/>
        <v>W</v>
      </c>
      <c r="I1017" s="5">
        <v>42</v>
      </c>
      <c r="J1017" s="5">
        <v>8079</v>
      </c>
      <c r="K1017" s="5"/>
      <c r="L1017" s="5">
        <v>23</v>
      </c>
      <c r="M1017" s="2" t="s">
        <v>47</v>
      </c>
      <c r="N1017" s="5">
        <v>57</v>
      </c>
      <c r="O1017" s="5">
        <v>36</v>
      </c>
      <c r="P1017" s="5">
        <v>35.17</v>
      </c>
      <c r="Q1017" s="2" t="s">
        <v>18</v>
      </c>
      <c r="R1017" s="5">
        <v>809</v>
      </c>
      <c r="S1017" s="5">
        <f>(R1017/J1017)*100</f>
        <v>10.013615546478524</v>
      </c>
      <c r="V1017" s="5"/>
      <c r="W1017" s="6" t="s">
        <v>2417</v>
      </c>
    </row>
    <row r="1018" spans="1:23" x14ac:dyDescent="0.15">
      <c r="A1018" s="2" t="s">
        <v>202</v>
      </c>
      <c r="B1018" s="2" t="s">
        <v>3935</v>
      </c>
      <c r="C1018" s="2" t="s">
        <v>926</v>
      </c>
      <c r="D1018" s="2" t="s">
        <v>578</v>
      </c>
      <c r="E1018" s="1"/>
      <c r="F1018" s="2" t="s">
        <v>579</v>
      </c>
      <c r="G1018" s="2">
        <v>26.5</v>
      </c>
      <c r="H1018" s="2" t="str">
        <f t="shared" si="41"/>
        <v>W</v>
      </c>
      <c r="I1018" s="5">
        <v>44.6</v>
      </c>
      <c r="J1018" s="5">
        <f xml:space="preserve"> 0.10146*(I1018)^3.0496</f>
        <v>10866.91932998668</v>
      </c>
      <c r="K1018" s="5"/>
      <c r="L1018" s="7">
        <v>23.64</v>
      </c>
      <c r="M1018" s="2" t="s">
        <v>47</v>
      </c>
      <c r="N1018" s="7">
        <v>59.93</v>
      </c>
      <c r="O1018" s="5">
        <v>36.11</v>
      </c>
      <c r="P1018" s="5">
        <v>44.21</v>
      </c>
      <c r="Q1018" s="2" t="s">
        <v>18</v>
      </c>
      <c r="R1018" s="5">
        <v>1045.1199999999999</v>
      </c>
      <c r="S1018" s="5">
        <f>(R1018/J1018)*100</f>
        <v>9.6174450942692413</v>
      </c>
      <c r="V1018" s="5"/>
      <c r="W1018" s="6" t="s">
        <v>2425</v>
      </c>
    </row>
    <row r="1019" spans="1:23" x14ac:dyDescent="0.15">
      <c r="A1019" s="2" t="s">
        <v>202</v>
      </c>
      <c r="B1019" s="2" t="s">
        <v>3935</v>
      </c>
      <c r="C1019" s="2" t="s">
        <v>926</v>
      </c>
      <c r="D1019" s="2" t="s">
        <v>578</v>
      </c>
      <c r="E1019" s="1"/>
      <c r="F1019" s="2" t="s">
        <v>204</v>
      </c>
      <c r="G1019" s="2">
        <v>26.78</v>
      </c>
      <c r="H1019" s="2" t="str">
        <f t="shared" si="41"/>
        <v>W</v>
      </c>
      <c r="I1019" s="5"/>
      <c r="J1019" s="5"/>
      <c r="K1019" s="5"/>
      <c r="L1019" s="5">
        <v>22.46</v>
      </c>
      <c r="M1019" s="2" t="s">
        <v>47</v>
      </c>
      <c r="N1019" s="5"/>
      <c r="O1019" s="5"/>
      <c r="P1019" s="5"/>
      <c r="R1019" s="5"/>
      <c r="S1019" s="5"/>
      <c r="V1019" s="5"/>
      <c r="W1019" s="6" t="s">
        <v>2464</v>
      </c>
    </row>
    <row r="1020" spans="1:23" x14ac:dyDescent="0.15">
      <c r="A1020" s="2" t="s">
        <v>202</v>
      </c>
      <c r="B1020" s="2" t="s">
        <v>3935</v>
      </c>
      <c r="C1020" s="2" t="s">
        <v>926</v>
      </c>
      <c r="D1020" s="2" t="s">
        <v>578</v>
      </c>
      <c r="E1020" s="1"/>
      <c r="F1020" s="2" t="s">
        <v>204</v>
      </c>
      <c r="G1020" s="2">
        <v>26.7</v>
      </c>
      <c r="H1020" s="2" t="str">
        <f t="shared" si="41"/>
        <v>W</v>
      </c>
      <c r="I1020" s="5"/>
      <c r="J1020" s="5"/>
      <c r="K1020" s="5"/>
      <c r="L1020" s="5">
        <v>19.96</v>
      </c>
      <c r="M1020" s="2" t="s">
        <v>47</v>
      </c>
      <c r="N1020" s="5"/>
      <c r="O1020" s="5"/>
      <c r="P1020" s="5"/>
      <c r="R1020" s="5"/>
      <c r="S1020" s="5"/>
      <c r="V1020" s="5"/>
      <c r="W1020" s="6" t="s">
        <v>1999</v>
      </c>
    </row>
    <row r="1021" spans="1:23" x14ac:dyDescent="0.15">
      <c r="A1021" s="2" t="s">
        <v>202</v>
      </c>
      <c r="B1021" s="2" t="s">
        <v>3935</v>
      </c>
      <c r="C1021" s="2" t="s">
        <v>926</v>
      </c>
      <c r="D1021" s="2" t="s">
        <v>578</v>
      </c>
      <c r="E1021" s="1"/>
      <c r="F1021" s="2" t="s">
        <v>204</v>
      </c>
      <c r="H1021" s="2" t="s">
        <v>3887</v>
      </c>
      <c r="I1021" s="5"/>
      <c r="J1021" s="5"/>
      <c r="K1021" s="5"/>
      <c r="L1021" s="7">
        <f>MEDIAN(30,35)</f>
        <v>32.5</v>
      </c>
      <c r="M1021" s="2" t="s">
        <v>47</v>
      </c>
      <c r="N1021" s="5">
        <v>55</v>
      </c>
      <c r="O1021" s="5">
        <v>33</v>
      </c>
      <c r="P1021" s="5">
        <v>36.33</v>
      </c>
      <c r="Q1021" s="2" t="s">
        <v>376</v>
      </c>
      <c r="R1021" s="5">
        <v>1045.1199999999999</v>
      </c>
      <c r="S1021" s="5"/>
      <c r="V1021" s="5"/>
      <c r="W1021" s="6" t="s">
        <v>2975</v>
      </c>
    </row>
    <row r="1022" spans="1:23" x14ac:dyDescent="0.15">
      <c r="A1022" s="2" t="s">
        <v>202</v>
      </c>
      <c r="B1022" s="2" t="s">
        <v>3935</v>
      </c>
      <c r="C1022" s="2" t="s">
        <v>926</v>
      </c>
      <c r="D1022" s="2" t="s">
        <v>578</v>
      </c>
      <c r="E1022" s="1"/>
      <c r="F1022" s="2" t="s">
        <v>553</v>
      </c>
      <c r="G1022" s="2">
        <v>26.79</v>
      </c>
      <c r="H1022" s="2" t="str">
        <f t="shared" si="41"/>
        <v>W</v>
      </c>
      <c r="I1022" s="5"/>
      <c r="J1022" s="5"/>
      <c r="K1022" s="5"/>
      <c r="L1022" s="5">
        <v>26.79</v>
      </c>
      <c r="M1022" s="2" t="s">
        <v>47</v>
      </c>
      <c r="N1022" s="5"/>
      <c r="O1022" s="5"/>
      <c r="P1022" s="5"/>
      <c r="R1022" s="5"/>
      <c r="S1022" s="5"/>
      <c r="V1022" s="5"/>
      <c r="W1022" s="6" t="s">
        <v>2424</v>
      </c>
    </row>
    <row r="1023" spans="1:23" x14ac:dyDescent="0.15">
      <c r="A1023" s="2" t="s">
        <v>202</v>
      </c>
      <c r="B1023" s="2" t="s">
        <v>3935</v>
      </c>
      <c r="C1023" s="2" t="s">
        <v>926</v>
      </c>
      <c r="D1023" s="2" t="s">
        <v>580</v>
      </c>
      <c r="E1023" s="1"/>
      <c r="F1023" s="2" t="s">
        <v>374</v>
      </c>
      <c r="G1023" s="2" t="s">
        <v>374</v>
      </c>
      <c r="H1023" s="2" t="str">
        <f t="shared" si="41"/>
        <v>C</v>
      </c>
      <c r="I1023" s="5">
        <v>46.48</v>
      </c>
      <c r="J1023" s="5">
        <v>15125</v>
      </c>
      <c r="K1023" s="5"/>
      <c r="L1023" s="5">
        <v>22.5</v>
      </c>
      <c r="M1023" s="4" t="s">
        <v>571</v>
      </c>
      <c r="N1023" s="5"/>
      <c r="O1023" s="5"/>
      <c r="P1023" s="5"/>
      <c r="R1023" s="5"/>
      <c r="S1023" s="5"/>
      <c r="V1023" s="5"/>
      <c r="W1023" s="6" t="s">
        <v>2354</v>
      </c>
    </row>
    <row r="1024" spans="1:23" x14ac:dyDescent="0.15">
      <c r="A1024" s="2" t="s">
        <v>202</v>
      </c>
      <c r="B1024" s="2" t="s">
        <v>3935</v>
      </c>
      <c r="C1024" s="2" t="s">
        <v>926</v>
      </c>
      <c r="D1024" s="2" t="s">
        <v>580</v>
      </c>
      <c r="E1024" s="1"/>
      <c r="F1024" s="2" t="s">
        <v>204</v>
      </c>
      <c r="G1024" s="2">
        <v>26.87</v>
      </c>
      <c r="H1024" s="2" t="str">
        <f t="shared" si="41"/>
        <v>W</v>
      </c>
      <c r="I1024" s="5"/>
      <c r="J1024" s="5"/>
      <c r="K1024" s="5"/>
      <c r="L1024" s="7">
        <v>23.3</v>
      </c>
      <c r="M1024" s="4" t="s">
        <v>571</v>
      </c>
      <c r="N1024" s="7">
        <v>71.599999999999994</v>
      </c>
      <c r="O1024" s="5">
        <v>40.299999999999997</v>
      </c>
      <c r="P1024" s="5">
        <v>51.8</v>
      </c>
      <c r="Q1024" s="2" t="s">
        <v>18</v>
      </c>
      <c r="R1024" s="5">
        <v>1206.94</v>
      </c>
      <c r="S1024" s="5"/>
      <c r="V1024" s="5"/>
      <c r="W1024" s="6" t="s">
        <v>2460</v>
      </c>
    </row>
    <row r="1025" spans="1:24" x14ac:dyDescent="0.15">
      <c r="A1025" s="2" t="s">
        <v>202</v>
      </c>
      <c r="B1025" s="2" t="s">
        <v>3935</v>
      </c>
      <c r="C1025" s="2" t="s">
        <v>926</v>
      </c>
      <c r="D1025" s="2" t="s">
        <v>580</v>
      </c>
      <c r="E1025" s="1"/>
      <c r="F1025" s="2" t="s">
        <v>204</v>
      </c>
      <c r="G1025" s="2">
        <v>27</v>
      </c>
      <c r="H1025" s="2" t="str">
        <f t="shared" si="41"/>
        <v>W</v>
      </c>
      <c r="I1025" s="5">
        <v>56</v>
      </c>
      <c r="J1025" s="5">
        <v>22040</v>
      </c>
      <c r="K1025" s="5"/>
      <c r="L1025" s="5">
        <v>17</v>
      </c>
      <c r="M1025" s="4" t="s">
        <v>571</v>
      </c>
      <c r="N1025" s="5">
        <v>64</v>
      </c>
      <c r="O1025" s="5">
        <v>40</v>
      </c>
      <c r="P1025" s="5">
        <v>55.3</v>
      </c>
      <c r="Q1025" s="2" t="s">
        <v>18</v>
      </c>
      <c r="R1025" s="5">
        <v>940</v>
      </c>
      <c r="S1025" s="5">
        <f>(R1025/J1025)*100</f>
        <v>4.2649727767695103</v>
      </c>
      <c r="V1025" s="5"/>
      <c r="W1025" s="6" t="s">
        <v>2417</v>
      </c>
    </row>
    <row r="1026" spans="1:24" x14ac:dyDescent="0.15">
      <c r="A1026" s="2" t="s">
        <v>202</v>
      </c>
      <c r="B1026" s="2" t="s">
        <v>3935</v>
      </c>
      <c r="C1026" s="2" t="s">
        <v>926</v>
      </c>
      <c r="D1026" s="2" t="s">
        <v>580</v>
      </c>
      <c r="E1026" s="1"/>
      <c r="F1026" s="2" t="s">
        <v>579</v>
      </c>
      <c r="G1026" s="2">
        <v>26.5</v>
      </c>
      <c r="H1026" s="2" t="str">
        <f t="shared" si="41"/>
        <v>W</v>
      </c>
      <c r="I1026" s="5">
        <v>47.6</v>
      </c>
      <c r="J1026" s="5">
        <f>(0.067*(I1026*10) - 16.89)*1000</f>
        <v>15002.000000000002</v>
      </c>
      <c r="K1026" s="5"/>
      <c r="L1026" s="7">
        <v>15.5</v>
      </c>
      <c r="M1026" s="4" t="s">
        <v>571</v>
      </c>
      <c r="N1026" s="7">
        <v>70.489999999999995</v>
      </c>
      <c r="O1026" s="5">
        <v>41.61</v>
      </c>
      <c r="P1026" s="5">
        <v>57.42</v>
      </c>
      <c r="Q1026" s="2" t="s">
        <v>18</v>
      </c>
      <c r="R1026" s="5">
        <f>P1026*L1026</f>
        <v>890.01</v>
      </c>
      <c r="S1026" s="5">
        <f>(R1026/J1026)*100</f>
        <v>5.9326089854686037</v>
      </c>
      <c r="V1026" s="5"/>
      <c r="W1026" s="6" t="s">
        <v>2425</v>
      </c>
    </row>
    <row r="1027" spans="1:24" x14ac:dyDescent="0.15">
      <c r="A1027" s="2" t="s">
        <v>202</v>
      </c>
      <c r="B1027" s="2" t="s">
        <v>3935</v>
      </c>
      <c r="C1027" s="2" t="s">
        <v>926</v>
      </c>
      <c r="D1027" s="2" t="s">
        <v>580</v>
      </c>
      <c r="E1027" s="1"/>
      <c r="F1027" s="2" t="s">
        <v>204</v>
      </c>
      <c r="G1027" s="2">
        <v>26.78</v>
      </c>
      <c r="H1027" s="2" t="str">
        <f t="shared" si="41"/>
        <v>W</v>
      </c>
      <c r="I1027" s="5"/>
      <c r="J1027" s="5"/>
      <c r="K1027" s="5"/>
      <c r="L1027" s="5">
        <v>19.37</v>
      </c>
      <c r="M1027" s="4" t="s">
        <v>571</v>
      </c>
      <c r="N1027" s="5"/>
      <c r="O1027" s="5"/>
      <c r="P1027" s="5"/>
      <c r="R1027" s="5"/>
      <c r="S1027" s="5"/>
      <c r="V1027" s="5"/>
      <c r="W1027" s="6" t="s">
        <v>2464</v>
      </c>
    </row>
    <row r="1028" spans="1:24" x14ac:dyDescent="0.15">
      <c r="A1028" s="2" t="s">
        <v>202</v>
      </c>
      <c r="B1028" s="2" t="s">
        <v>3935</v>
      </c>
      <c r="C1028" s="2" t="s">
        <v>926</v>
      </c>
      <c r="D1028" s="2" t="s">
        <v>580</v>
      </c>
      <c r="E1028" s="1"/>
      <c r="F1028" s="2" t="s">
        <v>579</v>
      </c>
      <c r="G1028" s="2">
        <v>26</v>
      </c>
      <c r="H1028" s="2" t="str">
        <f t="shared" si="41"/>
        <v>W</v>
      </c>
      <c r="I1028" s="5"/>
      <c r="J1028" s="5"/>
      <c r="K1028" s="5"/>
      <c r="L1028" s="7">
        <v>18</v>
      </c>
      <c r="M1028" s="4" t="s">
        <v>571</v>
      </c>
      <c r="N1028" s="7"/>
      <c r="O1028" s="5"/>
      <c r="P1028" s="5"/>
      <c r="R1028" s="5"/>
      <c r="S1028" s="5"/>
      <c r="V1028" s="5"/>
      <c r="W1028" s="6" t="s">
        <v>2427</v>
      </c>
    </row>
    <row r="1029" spans="1:24" ht="12.75" customHeight="1" x14ac:dyDescent="0.15">
      <c r="A1029" s="2" t="s">
        <v>202</v>
      </c>
      <c r="B1029" s="2" t="s">
        <v>3935</v>
      </c>
      <c r="C1029" s="2" t="s">
        <v>926</v>
      </c>
      <c r="D1029" s="2" t="s">
        <v>580</v>
      </c>
      <c r="E1029" s="1"/>
      <c r="F1029" s="2" t="s">
        <v>204</v>
      </c>
      <c r="G1029" s="2">
        <v>26.7</v>
      </c>
      <c r="H1029" s="2" t="str">
        <f t="shared" si="41"/>
        <v>W</v>
      </c>
      <c r="I1029" s="5"/>
      <c r="J1029" s="5"/>
      <c r="K1029" s="5"/>
      <c r="L1029" s="5">
        <v>16.37</v>
      </c>
      <c r="M1029" s="4" t="s">
        <v>571</v>
      </c>
      <c r="N1029" s="5"/>
      <c r="O1029" s="5"/>
      <c r="P1029" s="5"/>
      <c r="R1029" s="5"/>
      <c r="S1029" s="5"/>
      <c r="V1029" s="5"/>
      <c r="W1029" s="6" t="s">
        <v>1999</v>
      </c>
    </row>
    <row r="1030" spans="1:24" x14ac:dyDescent="0.15">
      <c r="A1030" s="2" t="s">
        <v>202</v>
      </c>
      <c r="B1030" s="2" t="s">
        <v>3935</v>
      </c>
      <c r="C1030" s="2" t="s">
        <v>926</v>
      </c>
      <c r="D1030" s="2" t="s">
        <v>580</v>
      </c>
      <c r="E1030" s="1"/>
      <c r="F1030" s="2" t="s">
        <v>374</v>
      </c>
      <c r="G1030" s="2" t="s">
        <v>374</v>
      </c>
      <c r="H1030" s="2" t="str">
        <f t="shared" si="41"/>
        <v>C</v>
      </c>
      <c r="I1030" s="5"/>
      <c r="J1030" s="5"/>
      <c r="K1030" s="5"/>
      <c r="L1030" s="7">
        <v>16.5</v>
      </c>
      <c r="M1030" s="4" t="s">
        <v>571</v>
      </c>
      <c r="N1030" s="7">
        <v>66.132000000000005</v>
      </c>
      <c r="O1030" s="5">
        <v>37.68</v>
      </c>
      <c r="P1030" s="5">
        <v>55.174999999999997</v>
      </c>
      <c r="Q1030" s="2" t="s">
        <v>18</v>
      </c>
      <c r="R1030" s="5">
        <f>P1030*L1030</f>
        <v>910.38749999999993</v>
      </c>
      <c r="S1030" s="5"/>
      <c r="V1030" s="5"/>
      <c r="W1030" s="6" t="s">
        <v>2428</v>
      </c>
    </row>
    <row r="1031" spans="1:24" x14ac:dyDescent="0.15">
      <c r="A1031" s="1" t="s">
        <v>202</v>
      </c>
      <c r="B1031" s="1" t="s">
        <v>3935</v>
      </c>
      <c r="C1031" s="1" t="s">
        <v>926</v>
      </c>
      <c r="D1031" s="1" t="s">
        <v>580</v>
      </c>
      <c r="E1031" s="1"/>
      <c r="F1031" s="1" t="s">
        <v>204</v>
      </c>
      <c r="G1031" s="1" t="s">
        <v>374</v>
      </c>
      <c r="H1031" s="1" t="str">
        <f t="shared" si="41"/>
        <v>C</v>
      </c>
      <c r="I1031" s="8"/>
      <c r="J1031" s="8"/>
      <c r="K1031" s="8">
        <v>3</v>
      </c>
      <c r="L1031" s="8"/>
      <c r="M1031" s="8" t="s">
        <v>571</v>
      </c>
      <c r="N1031" s="8"/>
      <c r="O1031" s="8"/>
      <c r="P1031" s="8"/>
      <c r="Q1031" s="1"/>
      <c r="R1031" s="8"/>
      <c r="S1031" s="8"/>
      <c r="T1031" s="1">
        <v>2</v>
      </c>
      <c r="U1031" s="2" t="str">
        <f>IF(T1031&lt;=1, "1",IF(AND(T1031&gt;1,T1031&lt;4), "2-3", "+4"))</f>
        <v>2-3</v>
      </c>
      <c r="V1031" s="8"/>
      <c r="W1031" s="3" t="s">
        <v>4006</v>
      </c>
      <c r="X1031" s="1"/>
    </row>
    <row r="1032" spans="1:24" x14ac:dyDescent="0.15">
      <c r="A1032" s="2" t="s">
        <v>202</v>
      </c>
      <c r="B1032" s="2" t="s">
        <v>3935</v>
      </c>
      <c r="C1032" s="2" t="s">
        <v>926</v>
      </c>
      <c r="D1032" s="2" t="s">
        <v>726</v>
      </c>
      <c r="E1032" s="1"/>
      <c r="F1032" s="2" t="s">
        <v>438</v>
      </c>
      <c r="H1032" s="2" t="s">
        <v>3887</v>
      </c>
      <c r="I1032" s="5"/>
      <c r="J1032" s="5"/>
      <c r="K1032" s="5"/>
      <c r="L1032" s="5">
        <v>25</v>
      </c>
      <c r="M1032" s="2" t="s">
        <v>47</v>
      </c>
      <c r="N1032" s="5"/>
      <c r="O1032" s="5"/>
      <c r="P1032" s="5"/>
      <c r="R1032" s="5"/>
      <c r="S1032" s="5"/>
      <c r="V1032" s="5"/>
      <c r="W1032" s="6" t="s">
        <v>1938</v>
      </c>
    </row>
    <row r="1033" spans="1:24" x14ac:dyDescent="0.15">
      <c r="A1033" s="2" t="s">
        <v>202</v>
      </c>
      <c r="B1033" s="2" t="s">
        <v>3935</v>
      </c>
      <c r="C1033" s="2" t="s">
        <v>926</v>
      </c>
      <c r="D1033" s="2" t="s">
        <v>726</v>
      </c>
      <c r="E1033" s="1"/>
      <c r="F1033" s="2" t="s">
        <v>438</v>
      </c>
      <c r="H1033" s="2" t="s">
        <v>3887</v>
      </c>
      <c r="I1033" s="5"/>
      <c r="J1033" s="5"/>
      <c r="K1033" s="5"/>
      <c r="L1033" s="5">
        <v>21.7</v>
      </c>
      <c r="M1033" s="2" t="s">
        <v>47</v>
      </c>
      <c r="N1033" s="5"/>
      <c r="O1033" s="5"/>
      <c r="P1033" s="5"/>
      <c r="R1033" s="5"/>
      <c r="S1033" s="5"/>
      <c r="V1033" s="5"/>
      <c r="W1033" s="6" t="s">
        <v>2798</v>
      </c>
    </row>
    <row r="1034" spans="1:24" x14ac:dyDescent="0.15">
      <c r="A1034" s="2" t="s">
        <v>202</v>
      </c>
      <c r="B1034" s="2" t="s">
        <v>3935</v>
      </c>
      <c r="C1034" s="2" t="s">
        <v>926</v>
      </c>
      <c r="D1034" s="2" t="s">
        <v>726</v>
      </c>
      <c r="E1034" s="1"/>
      <c r="F1034" s="2" t="s">
        <v>438</v>
      </c>
      <c r="G1034" s="2">
        <v>22</v>
      </c>
      <c r="H1034" s="2" t="str">
        <f t="shared" si="41"/>
        <v>W</v>
      </c>
      <c r="I1034" s="5">
        <f>(AVERAGE(515,450))/10</f>
        <v>48.25</v>
      </c>
      <c r="J1034" s="5">
        <f>AVERAGE(22900,13250)</f>
        <v>18075</v>
      </c>
      <c r="K1034" s="5"/>
      <c r="L1034" s="5"/>
      <c r="M1034" s="2" t="s">
        <v>47</v>
      </c>
      <c r="N1034" s="5"/>
      <c r="O1034" s="5"/>
      <c r="P1034" s="5"/>
      <c r="R1034" s="5"/>
      <c r="S1034" s="5"/>
      <c r="V1034" s="5"/>
      <c r="W1034" s="6" t="s">
        <v>3874</v>
      </c>
    </row>
    <row r="1035" spans="1:24" x14ac:dyDescent="0.15">
      <c r="A1035" s="2" t="s">
        <v>202</v>
      </c>
      <c r="B1035" s="2" t="s">
        <v>3935</v>
      </c>
      <c r="C1035" s="2" t="s">
        <v>926</v>
      </c>
      <c r="D1035" s="2" t="s">
        <v>726</v>
      </c>
      <c r="E1035" s="1"/>
      <c r="F1035" s="2" t="s">
        <v>438</v>
      </c>
      <c r="G1035" s="2">
        <v>25.75</v>
      </c>
      <c r="H1035" s="2" t="str">
        <f t="shared" si="41"/>
        <v>W</v>
      </c>
      <c r="I1035" s="5">
        <v>51.09</v>
      </c>
      <c r="J1035" s="5">
        <v>19238</v>
      </c>
      <c r="K1035" s="5"/>
      <c r="L1035" s="5"/>
      <c r="M1035" s="2" t="s">
        <v>47</v>
      </c>
      <c r="N1035" s="5"/>
      <c r="O1035" s="5"/>
      <c r="P1035" s="5"/>
      <c r="R1035" s="5"/>
      <c r="S1035" s="5"/>
      <c r="V1035" s="5"/>
      <c r="W1035" s="6" t="s">
        <v>2467</v>
      </c>
    </row>
    <row r="1036" spans="1:24" x14ac:dyDescent="0.15">
      <c r="A1036" s="2" t="s">
        <v>202</v>
      </c>
      <c r="B1036" s="2" t="s">
        <v>3935</v>
      </c>
      <c r="C1036" s="2" t="s">
        <v>926</v>
      </c>
      <c r="D1036" s="2" t="s">
        <v>726</v>
      </c>
      <c r="E1036" s="1"/>
      <c r="F1036" s="2" t="s">
        <v>438</v>
      </c>
      <c r="G1036" s="21">
        <v>25.805</v>
      </c>
      <c r="H1036" s="2" t="str">
        <f t="shared" si="41"/>
        <v>W</v>
      </c>
      <c r="I1036" s="5"/>
      <c r="J1036" s="5"/>
      <c r="K1036" s="5"/>
      <c r="L1036" s="5">
        <v>24.14</v>
      </c>
      <c r="M1036" s="2" t="s">
        <v>47</v>
      </c>
      <c r="N1036" s="5"/>
      <c r="O1036" s="5"/>
      <c r="P1036" s="5"/>
      <c r="R1036" s="5"/>
      <c r="S1036" s="5"/>
      <c r="V1036" s="5"/>
      <c r="W1036" s="6" t="s">
        <v>2465</v>
      </c>
    </row>
    <row r="1037" spans="1:24" x14ac:dyDescent="0.15">
      <c r="A1037" s="2" t="s">
        <v>202</v>
      </c>
      <c r="B1037" s="2" t="s">
        <v>3935</v>
      </c>
      <c r="C1037" s="2" t="s">
        <v>926</v>
      </c>
      <c r="D1037" s="2" t="s">
        <v>726</v>
      </c>
      <c r="E1037" s="1"/>
      <c r="F1037" s="2" t="s">
        <v>438</v>
      </c>
      <c r="G1037" s="2" t="s">
        <v>374</v>
      </c>
      <c r="H1037" s="2" t="str">
        <f t="shared" si="41"/>
        <v>C</v>
      </c>
      <c r="I1037" s="5">
        <v>41.7</v>
      </c>
      <c r="J1037" s="5">
        <v>9483</v>
      </c>
      <c r="K1037" s="5"/>
      <c r="L1037" s="5"/>
      <c r="M1037" s="2" t="s">
        <v>47</v>
      </c>
      <c r="N1037" s="5"/>
      <c r="O1037" s="5"/>
      <c r="P1037" s="5"/>
      <c r="R1037" s="5"/>
      <c r="S1037" s="5"/>
      <c r="V1037" s="5"/>
      <c r="W1037" s="6" t="s">
        <v>2466</v>
      </c>
    </row>
    <row r="1038" spans="1:24" x14ac:dyDescent="0.15">
      <c r="A1038" s="2" t="s">
        <v>202</v>
      </c>
      <c r="B1038" s="2" t="s">
        <v>3935</v>
      </c>
      <c r="C1038" s="2" t="s">
        <v>926</v>
      </c>
      <c r="D1038" s="2" t="s">
        <v>726</v>
      </c>
      <c r="E1038" s="1"/>
      <c r="F1038" s="2" t="s">
        <v>438</v>
      </c>
      <c r="G1038" s="2" t="s">
        <v>374</v>
      </c>
      <c r="H1038" s="2" t="s">
        <v>30</v>
      </c>
      <c r="I1038" s="5"/>
      <c r="J1038" s="5"/>
      <c r="K1038" s="5">
        <v>14</v>
      </c>
      <c r="L1038" s="5"/>
      <c r="M1038" s="2" t="s">
        <v>47</v>
      </c>
      <c r="N1038" s="5"/>
      <c r="O1038" s="5"/>
      <c r="P1038" s="5"/>
      <c r="R1038" s="5"/>
      <c r="S1038" s="5"/>
      <c r="V1038" s="5"/>
      <c r="W1038" s="6" t="s">
        <v>4133</v>
      </c>
    </row>
    <row r="1039" spans="1:24" x14ac:dyDescent="0.15">
      <c r="A1039" s="2" t="s">
        <v>202</v>
      </c>
      <c r="B1039" s="2" t="s">
        <v>3935</v>
      </c>
      <c r="C1039" s="2" t="s">
        <v>926</v>
      </c>
      <c r="D1039" s="2" t="s">
        <v>726</v>
      </c>
      <c r="E1039" s="1"/>
      <c r="F1039" s="2" t="s">
        <v>438</v>
      </c>
      <c r="G1039" s="2">
        <v>26</v>
      </c>
      <c r="H1039" s="2" t="s">
        <v>3887</v>
      </c>
      <c r="I1039" s="5">
        <v>50.75</v>
      </c>
      <c r="J1039" s="5"/>
      <c r="K1039" s="5"/>
      <c r="L1039" s="5">
        <v>35.479999999999997</v>
      </c>
      <c r="M1039" s="2" t="s">
        <v>47</v>
      </c>
      <c r="N1039" s="5">
        <v>61.65</v>
      </c>
      <c r="O1039" s="5">
        <v>40.619999999999997</v>
      </c>
      <c r="P1039" s="5">
        <v>65.63</v>
      </c>
      <c r="Q1039" s="2" t="s">
        <v>18</v>
      </c>
      <c r="R1039" s="5">
        <v>2328.5500000000002</v>
      </c>
      <c r="S1039" s="5"/>
      <c r="V1039" s="5"/>
      <c r="W1039" s="6" t="s">
        <v>5174</v>
      </c>
    </row>
    <row r="1040" spans="1:24" x14ac:dyDescent="0.15">
      <c r="A1040" s="2" t="s">
        <v>202</v>
      </c>
      <c r="B1040" s="2" t="s">
        <v>3936</v>
      </c>
      <c r="C1040" s="2" t="s">
        <v>931</v>
      </c>
      <c r="D1040" s="2" t="s">
        <v>2751</v>
      </c>
      <c r="E1040" s="1" t="s">
        <v>3493</v>
      </c>
      <c r="F1040" s="2" t="s">
        <v>374</v>
      </c>
      <c r="G1040" s="2" t="s">
        <v>374</v>
      </c>
      <c r="H1040" s="2" t="str">
        <f t="shared" si="41"/>
        <v>C</v>
      </c>
      <c r="I1040" s="5">
        <v>17</v>
      </c>
      <c r="J1040" s="5">
        <f xml:space="preserve"> 3.12176*I1040^2.0494</f>
        <v>1037.7232115716213</v>
      </c>
      <c r="K1040" s="5"/>
      <c r="L1040" s="5">
        <v>1.667</v>
      </c>
      <c r="M1040" s="2" t="s">
        <v>571</v>
      </c>
      <c r="N1040" s="5"/>
      <c r="O1040" s="5"/>
      <c r="P1040" s="5"/>
      <c r="R1040" s="5"/>
      <c r="S1040" s="5"/>
      <c r="T1040" s="2">
        <v>3</v>
      </c>
      <c r="U1040" s="2" t="str">
        <f>IF(T1040&lt;=1, "1",IF(AND(T1040&gt;1,T1040&lt;4), "2-3", "+4"))</f>
        <v>2-3</v>
      </c>
      <c r="V1040" s="5"/>
      <c r="W1040" s="6" t="s">
        <v>2298</v>
      </c>
    </row>
    <row r="1041" spans="1:23" x14ac:dyDescent="0.15">
      <c r="A1041" s="2" t="s">
        <v>202</v>
      </c>
      <c r="B1041" s="2" t="s">
        <v>3936</v>
      </c>
      <c r="C1041" s="2" t="s">
        <v>931</v>
      </c>
      <c r="D1041" s="2" t="s">
        <v>2751</v>
      </c>
      <c r="E1041" s="1" t="s">
        <v>932</v>
      </c>
      <c r="F1041" s="2" t="s">
        <v>374</v>
      </c>
      <c r="G1041" s="2" t="s">
        <v>374</v>
      </c>
      <c r="H1041" s="2" t="str">
        <f t="shared" si="41"/>
        <v>C</v>
      </c>
      <c r="I1041" s="5"/>
      <c r="J1041" s="5"/>
      <c r="K1041" s="5"/>
      <c r="L1041" s="7">
        <f>MEDIAN(1,2)</f>
        <v>1.5</v>
      </c>
      <c r="M1041" s="2" t="s">
        <v>571</v>
      </c>
      <c r="N1041" s="5">
        <v>52</v>
      </c>
      <c r="O1041" s="5">
        <v>29</v>
      </c>
      <c r="P1041" s="5">
        <v>23.1</v>
      </c>
      <c r="Q1041" s="2" t="s">
        <v>18</v>
      </c>
      <c r="R1041" s="5">
        <f>P1041*L1041</f>
        <v>34.650000000000006</v>
      </c>
      <c r="S1041" s="5"/>
      <c r="V1041" s="5"/>
      <c r="W1041" s="6" t="s">
        <v>3267</v>
      </c>
    </row>
    <row r="1042" spans="1:23" x14ac:dyDescent="0.15">
      <c r="A1042" s="2" t="s">
        <v>202</v>
      </c>
      <c r="B1042" s="2" t="s">
        <v>3936</v>
      </c>
      <c r="C1042" s="2" t="s">
        <v>931</v>
      </c>
      <c r="D1042" s="2" t="s">
        <v>2751</v>
      </c>
      <c r="E1042" s="1" t="s">
        <v>3493</v>
      </c>
      <c r="F1042" s="2" t="s">
        <v>374</v>
      </c>
      <c r="G1042" s="2" t="s">
        <v>374</v>
      </c>
      <c r="H1042" s="2" t="str">
        <f t="shared" si="41"/>
        <v>C</v>
      </c>
      <c r="I1042" s="5"/>
      <c r="J1042" s="5"/>
      <c r="K1042" s="7">
        <f>MEDIAN(4,5)</f>
        <v>4.5</v>
      </c>
      <c r="L1042" s="7">
        <f>MEDIAN(1,4)</f>
        <v>2.5</v>
      </c>
      <c r="M1042" s="2" t="s">
        <v>571</v>
      </c>
      <c r="N1042" s="5"/>
      <c r="O1042" s="5"/>
      <c r="P1042" s="5"/>
      <c r="R1042" s="5"/>
      <c r="S1042" s="5"/>
      <c r="T1042" s="9">
        <f>MEDIAN(3,4)</f>
        <v>3.5</v>
      </c>
      <c r="U1042" s="2" t="str">
        <f>IF(T1042&lt;=1, "1",IF(AND(T1042&gt;1,T1042&lt;4), "2-3", "+4"))</f>
        <v>2-3</v>
      </c>
      <c r="V1042" s="5"/>
      <c r="W1042" s="6" t="s">
        <v>2472</v>
      </c>
    </row>
    <row r="1043" spans="1:23" x14ac:dyDescent="0.15">
      <c r="A1043" s="2" t="s">
        <v>202</v>
      </c>
      <c r="B1043" s="2" t="s">
        <v>3936</v>
      </c>
      <c r="C1043" s="2" t="s">
        <v>931</v>
      </c>
      <c r="D1043" s="2" t="s">
        <v>2751</v>
      </c>
      <c r="E1043" s="1" t="s">
        <v>3493</v>
      </c>
      <c r="F1043" s="2" t="s">
        <v>374</v>
      </c>
      <c r="G1043" s="2" t="s">
        <v>374</v>
      </c>
      <c r="H1043" s="2" t="str">
        <f t="shared" si="41"/>
        <v>C</v>
      </c>
      <c r="I1043" s="5">
        <v>16.95</v>
      </c>
      <c r="J1043" s="5">
        <v>882.3</v>
      </c>
      <c r="K1043" s="5"/>
      <c r="L1043" s="5">
        <v>1</v>
      </c>
      <c r="M1043" s="2" t="s">
        <v>571</v>
      </c>
      <c r="N1043" s="5">
        <v>54.28</v>
      </c>
      <c r="O1043" s="5">
        <v>27.32</v>
      </c>
      <c r="P1043" s="5">
        <v>16.63</v>
      </c>
      <c r="Q1043" s="2" t="s">
        <v>18</v>
      </c>
      <c r="R1043" s="5">
        <v>16.63</v>
      </c>
      <c r="S1043" s="5">
        <v>1.88</v>
      </c>
      <c r="T1043" s="2" t="s">
        <v>399</v>
      </c>
      <c r="U1043" s="40" t="s">
        <v>4047</v>
      </c>
      <c r="V1043" s="5"/>
      <c r="W1043" s="6" t="s">
        <v>2471</v>
      </c>
    </row>
    <row r="1044" spans="1:23" x14ac:dyDescent="0.15">
      <c r="A1044" s="2" t="s">
        <v>202</v>
      </c>
      <c r="B1044" s="2" t="s">
        <v>3936</v>
      </c>
      <c r="C1044" s="2" t="s">
        <v>931</v>
      </c>
      <c r="D1044" s="2" t="s">
        <v>2751</v>
      </c>
      <c r="E1044" s="1" t="s">
        <v>932</v>
      </c>
      <c r="F1044" s="2" t="s">
        <v>374</v>
      </c>
      <c r="G1044" s="2" t="s">
        <v>374</v>
      </c>
      <c r="H1044" s="2" t="str">
        <f t="shared" si="41"/>
        <v>C</v>
      </c>
      <c r="I1044" s="5">
        <v>13.5</v>
      </c>
      <c r="J1044" s="5">
        <f xml:space="preserve"> 3.12176*I1044^2.0494</f>
        <v>647.0018712485172</v>
      </c>
      <c r="K1044" s="5"/>
      <c r="L1044" s="5">
        <v>1</v>
      </c>
      <c r="M1044" s="2" t="s">
        <v>571</v>
      </c>
      <c r="N1044" s="5">
        <v>55</v>
      </c>
      <c r="O1044" s="5">
        <v>25</v>
      </c>
      <c r="P1044" s="5">
        <f xml:space="preserve"> (0.59*N1044) + (1.55*O1044) - 48.905</f>
        <v>22.294999999999987</v>
      </c>
      <c r="Q1044" s="2" t="s">
        <v>376</v>
      </c>
      <c r="R1044" s="5">
        <f>P1044*L1044</f>
        <v>22.294999999999987</v>
      </c>
      <c r="S1044" s="5">
        <f>(R1044/J1044)*100</f>
        <v>3.4458942069174241</v>
      </c>
      <c r="V1044" s="5"/>
      <c r="W1044" s="6" t="s">
        <v>2469</v>
      </c>
    </row>
    <row r="1045" spans="1:23" x14ac:dyDescent="0.15">
      <c r="A1045" s="2" t="s">
        <v>202</v>
      </c>
      <c r="B1045" s="2" t="s">
        <v>3936</v>
      </c>
      <c r="C1045" s="2" t="s">
        <v>931</v>
      </c>
      <c r="D1045" s="2" t="s">
        <v>2751</v>
      </c>
      <c r="E1045" s="1" t="s">
        <v>932</v>
      </c>
      <c r="F1045" s="2" t="s">
        <v>374</v>
      </c>
      <c r="G1045" s="2" t="s">
        <v>374</v>
      </c>
      <c r="H1045" s="2" t="str">
        <f t="shared" si="41"/>
        <v>C</v>
      </c>
      <c r="I1045" s="5">
        <v>12</v>
      </c>
      <c r="J1045" s="5">
        <f xml:space="preserve"> 3.12176*I1045^2.0494</f>
        <v>508.24551771550546</v>
      </c>
      <c r="K1045" s="5"/>
      <c r="L1045" s="5">
        <v>1</v>
      </c>
      <c r="M1045" s="5" t="s">
        <v>571</v>
      </c>
      <c r="N1045" s="5">
        <v>55</v>
      </c>
      <c r="O1045" s="5">
        <v>25</v>
      </c>
      <c r="P1045" s="5">
        <f>(0.59*N1045)+(1.55*O1045)-48.905</f>
        <v>22.294999999999987</v>
      </c>
      <c r="Q1045" s="2" t="s">
        <v>376</v>
      </c>
      <c r="R1045" s="5">
        <f>P1045*L1045</f>
        <v>22.294999999999987</v>
      </c>
      <c r="S1045" s="5">
        <f>(R1045/J1045)*100</f>
        <v>4.3866594436903217</v>
      </c>
      <c r="V1045" s="5"/>
      <c r="W1045" s="6" t="s">
        <v>2468</v>
      </c>
    </row>
    <row r="1046" spans="1:23" x14ac:dyDescent="0.15">
      <c r="A1046" s="2" t="s">
        <v>202</v>
      </c>
      <c r="B1046" s="2" t="s">
        <v>3936</v>
      </c>
      <c r="C1046" s="2" t="s">
        <v>931</v>
      </c>
      <c r="D1046" s="2" t="s">
        <v>2751</v>
      </c>
      <c r="E1046" s="1" t="s">
        <v>3493</v>
      </c>
      <c r="F1046" s="2" t="s">
        <v>891</v>
      </c>
      <c r="G1046" s="2" t="s">
        <v>891</v>
      </c>
      <c r="H1046" s="2" t="str">
        <f t="shared" si="41"/>
        <v>W</v>
      </c>
      <c r="I1046" s="5">
        <v>17.72</v>
      </c>
      <c r="J1046" s="5">
        <v>1108.0999999999999</v>
      </c>
      <c r="K1046" s="5"/>
      <c r="L1046" s="5">
        <v>2</v>
      </c>
      <c r="M1046" s="2" t="s">
        <v>571</v>
      </c>
      <c r="N1046" s="5">
        <v>46.32</v>
      </c>
      <c r="O1046" s="5">
        <v>28.36</v>
      </c>
      <c r="P1046" s="5">
        <v>21.88</v>
      </c>
      <c r="Q1046" s="2" t="s">
        <v>18</v>
      </c>
      <c r="R1046" s="5">
        <v>43.76</v>
      </c>
      <c r="S1046" s="5">
        <v>3.95</v>
      </c>
      <c r="T1046" s="2" t="s">
        <v>892</v>
      </c>
      <c r="U1046" s="40" t="s">
        <v>4047</v>
      </c>
      <c r="V1046" s="5"/>
      <c r="W1046" s="6" t="s">
        <v>2299</v>
      </c>
    </row>
    <row r="1047" spans="1:23" x14ac:dyDescent="0.15">
      <c r="A1047" s="2" t="s">
        <v>202</v>
      </c>
      <c r="B1047" s="2" t="s">
        <v>3936</v>
      </c>
      <c r="C1047" s="2" t="s">
        <v>931</v>
      </c>
      <c r="D1047" s="2" t="s">
        <v>2751</v>
      </c>
      <c r="E1047" s="1" t="s">
        <v>932</v>
      </c>
      <c r="F1047" s="2" t="s">
        <v>374</v>
      </c>
      <c r="G1047" s="2" t="s">
        <v>374</v>
      </c>
      <c r="H1047" s="2" t="str">
        <f t="shared" si="41"/>
        <v>C</v>
      </c>
      <c r="I1047" s="5"/>
      <c r="J1047" s="5"/>
      <c r="K1047" s="5"/>
      <c r="L1047" s="5">
        <v>1</v>
      </c>
      <c r="M1047" s="2" t="s">
        <v>571</v>
      </c>
      <c r="N1047" s="5">
        <v>51</v>
      </c>
      <c r="O1047" s="5">
        <v>25.5</v>
      </c>
      <c r="P1047" s="5">
        <v>20.71</v>
      </c>
      <c r="Q1047" s="2" t="s">
        <v>376</v>
      </c>
      <c r="R1047" s="5">
        <v>20.71</v>
      </c>
      <c r="S1047" s="5"/>
      <c r="T1047" s="2">
        <v>3</v>
      </c>
      <c r="U1047" s="2" t="str">
        <f>IF(T1047&lt;=1, "1",IF(AND(T1047&gt;1,T1047&lt;4), "2-3", "+4"))</f>
        <v>2-3</v>
      </c>
      <c r="V1047" s="5"/>
      <c r="W1047" s="6" t="s">
        <v>2976</v>
      </c>
    </row>
    <row r="1048" spans="1:23" x14ac:dyDescent="0.15">
      <c r="A1048" s="2" t="s">
        <v>202</v>
      </c>
      <c r="B1048" s="2" t="s">
        <v>3936</v>
      </c>
      <c r="C1048" s="2" t="s">
        <v>931</v>
      </c>
      <c r="D1048" s="2" t="s">
        <v>2751</v>
      </c>
      <c r="E1048" s="1" t="s">
        <v>932</v>
      </c>
      <c r="F1048" s="2" t="s">
        <v>374</v>
      </c>
      <c r="G1048" s="2" t="s">
        <v>374</v>
      </c>
      <c r="H1048" s="2" t="str">
        <f t="shared" si="41"/>
        <v>C</v>
      </c>
      <c r="I1048" s="5"/>
      <c r="J1048" s="5"/>
      <c r="K1048" s="5"/>
      <c r="L1048" s="5">
        <v>6</v>
      </c>
      <c r="M1048" s="2" t="s">
        <v>571</v>
      </c>
      <c r="N1048" s="5">
        <v>53.83</v>
      </c>
      <c r="O1048" s="5">
        <v>35</v>
      </c>
      <c r="P1048" s="5">
        <v>28.58</v>
      </c>
      <c r="Q1048" s="2" t="s">
        <v>18</v>
      </c>
      <c r="R1048" s="5">
        <v>171.5</v>
      </c>
      <c r="S1048" s="5"/>
      <c r="V1048" s="5"/>
      <c r="W1048" s="6" t="s">
        <v>2470</v>
      </c>
    </row>
    <row r="1049" spans="1:23" x14ac:dyDescent="0.15">
      <c r="A1049" s="2" t="s">
        <v>202</v>
      </c>
      <c r="B1049" s="2" t="s">
        <v>3936</v>
      </c>
      <c r="C1049" s="2" t="s">
        <v>931</v>
      </c>
      <c r="D1049" s="2" t="s">
        <v>2751</v>
      </c>
      <c r="E1049" s="1" t="s">
        <v>3493</v>
      </c>
      <c r="F1049" s="2" t="s">
        <v>4115</v>
      </c>
      <c r="G1049" s="2" t="s">
        <v>4109</v>
      </c>
      <c r="H1049" s="2" t="str">
        <f t="shared" si="41"/>
        <v>W</v>
      </c>
      <c r="I1049" s="5"/>
      <c r="J1049" s="5"/>
      <c r="K1049" s="5"/>
      <c r="L1049" s="5">
        <v>2.33</v>
      </c>
      <c r="M1049" s="2" t="s">
        <v>998</v>
      </c>
      <c r="N1049" s="5">
        <v>51.23</v>
      </c>
      <c r="O1049" s="5">
        <v>25.99</v>
      </c>
      <c r="P1049" s="5">
        <v>19.63</v>
      </c>
      <c r="Q1049" s="2" t="s">
        <v>18</v>
      </c>
      <c r="R1049" s="5">
        <v>45.8</v>
      </c>
      <c r="S1049" s="5"/>
      <c r="V1049" s="5"/>
      <c r="W1049" s="6" t="s">
        <v>4116</v>
      </c>
    </row>
    <row r="1050" spans="1:23" x14ac:dyDescent="0.15">
      <c r="A1050" s="2" t="s">
        <v>202</v>
      </c>
      <c r="B1050" s="2" t="s">
        <v>3936</v>
      </c>
      <c r="C1050" s="2" t="s">
        <v>931</v>
      </c>
      <c r="D1050" s="2" t="s">
        <v>2751</v>
      </c>
      <c r="E1050" s="1" t="s">
        <v>3493</v>
      </c>
      <c r="F1050" s="2" t="s">
        <v>203</v>
      </c>
      <c r="G1050" s="2">
        <v>4</v>
      </c>
      <c r="H1050" s="2" t="str">
        <f t="shared" si="41"/>
        <v>W</v>
      </c>
      <c r="I1050" s="5">
        <v>17.5</v>
      </c>
      <c r="J1050" s="5">
        <v>1019.5</v>
      </c>
      <c r="K1050" s="5"/>
      <c r="L1050" s="5">
        <v>1</v>
      </c>
      <c r="M1050" s="2" t="s">
        <v>571</v>
      </c>
      <c r="N1050" s="5">
        <v>47</v>
      </c>
      <c r="O1050" s="5">
        <v>26</v>
      </c>
      <c r="P1050" s="5">
        <v>19.5</v>
      </c>
      <c r="Q1050" s="2" t="s">
        <v>18</v>
      </c>
      <c r="R1050" s="5">
        <v>19.5</v>
      </c>
      <c r="S1050" s="5">
        <f>(R1050/J1050)*100</f>
        <v>1.9127023050514957</v>
      </c>
      <c r="V1050" s="5"/>
      <c r="W1050" s="6" t="s">
        <v>2417</v>
      </c>
    </row>
    <row r="1051" spans="1:23" x14ac:dyDescent="0.15">
      <c r="A1051" s="2" t="s">
        <v>202</v>
      </c>
      <c r="B1051" s="2" t="s">
        <v>3936</v>
      </c>
      <c r="C1051" s="2" t="s">
        <v>931</v>
      </c>
      <c r="D1051" s="2" t="s">
        <v>2751</v>
      </c>
      <c r="E1051" s="1" t="s">
        <v>932</v>
      </c>
      <c r="F1051" s="2" t="s">
        <v>374</v>
      </c>
      <c r="G1051" s="2" t="s">
        <v>374</v>
      </c>
      <c r="H1051" s="2" t="str">
        <f t="shared" si="41"/>
        <v>C</v>
      </c>
      <c r="I1051" s="5">
        <v>17.63</v>
      </c>
      <c r="J1051" s="5">
        <v>1046.67</v>
      </c>
      <c r="K1051" s="5">
        <f>MEDIAN(5,6)</f>
        <v>5.5</v>
      </c>
      <c r="L1051" s="5">
        <v>2</v>
      </c>
      <c r="M1051" s="2" t="s">
        <v>571</v>
      </c>
      <c r="N1051" s="5">
        <v>47</v>
      </c>
      <c r="O1051" s="5">
        <v>28.86</v>
      </c>
      <c r="P1051" s="5">
        <v>21.4</v>
      </c>
      <c r="Q1051" s="2" t="s">
        <v>18</v>
      </c>
      <c r="R1051" s="5">
        <v>42.8</v>
      </c>
      <c r="S1051" s="5">
        <v>4.09</v>
      </c>
      <c r="V1051" s="5"/>
      <c r="W1051" s="6" t="s">
        <v>2783</v>
      </c>
    </row>
    <row r="1052" spans="1:23" x14ac:dyDescent="0.15">
      <c r="A1052" s="2" t="s">
        <v>202</v>
      </c>
      <c r="B1052" s="2" t="s">
        <v>3936</v>
      </c>
      <c r="C1052" s="2" t="s">
        <v>931</v>
      </c>
      <c r="D1052" s="2" t="s">
        <v>2751</v>
      </c>
      <c r="E1052" s="1" t="s">
        <v>932</v>
      </c>
      <c r="F1052" s="2" t="s">
        <v>582</v>
      </c>
      <c r="G1052" s="2">
        <v>7.03</v>
      </c>
      <c r="H1052" s="2" t="str">
        <f t="shared" si="41"/>
        <v>W</v>
      </c>
      <c r="I1052" s="5">
        <v>19.3</v>
      </c>
      <c r="J1052" s="5">
        <f xml:space="preserve"> 3.12176*I1052^2.0494</f>
        <v>1345.9243820869103</v>
      </c>
      <c r="K1052" s="5"/>
      <c r="L1052" s="7">
        <v>1</v>
      </c>
      <c r="M1052" s="7" t="s">
        <v>571</v>
      </c>
      <c r="N1052" s="7">
        <v>51.7</v>
      </c>
      <c r="O1052" s="5">
        <v>29.6</v>
      </c>
      <c r="P1052" s="5">
        <f>(0.59*N1052)+(1.55*O1052)-48.905</f>
        <v>27.478000000000009</v>
      </c>
      <c r="Q1052" s="2" t="s">
        <v>376</v>
      </c>
      <c r="R1052" s="5">
        <f>P1052*L1052</f>
        <v>27.478000000000009</v>
      </c>
      <c r="S1052" s="5">
        <f>(R1052/J1052)*100</f>
        <v>2.0415708613134904</v>
      </c>
      <c r="T1052" s="2" t="s">
        <v>524</v>
      </c>
      <c r="U1052" s="40" t="s">
        <v>395</v>
      </c>
      <c r="V1052" s="5"/>
      <c r="W1052" s="6" t="s">
        <v>2300</v>
      </c>
    </row>
    <row r="1053" spans="1:23" x14ac:dyDescent="0.15">
      <c r="A1053" s="2" t="s">
        <v>202</v>
      </c>
      <c r="B1053" s="2" t="s">
        <v>3936</v>
      </c>
      <c r="C1053" s="2" t="s">
        <v>931</v>
      </c>
      <c r="D1053" s="2" t="s">
        <v>2751</v>
      </c>
      <c r="E1053" s="1" t="s">
        <v>3493</v>
      </c>
      <c r="F1053" s="2" t="s">
        <v>374</v>
      </c>
      <c r="G1053" s="2" t="s">
        <v>374</v>
      </c>
      <c r="H1053" s="2" t="str">
        <f t="shared" si="41"/>
        <v>C</v>
      </c>
      <c r="I1053" s="5"/>
      <c r="J1053" s="5"/>
      <c r="K1053" s="5"/>
      <c r="L1053" s="5">
        <v>1.67</v>
      </c>
      <c r="M1053" s="2" t="s">
        <v>571</v>
      </c>
      <c r="N1053" s="5">
        <v>48.59</v>
      </c>
      <c r="O1053" s="5">
        <v>22.05</v>
      </c>
      <c r="P1053" s="5">
        <v>22.05</v>
      </c>
      <c r="Q1053" s="2" t="s">
        <v>18</v>
      </c>
      <c r="R1053" s="5">
        <v>36.82</v>
      </c>
      <c r="S1053" s="5"/>
      <c r="V1053" s="5"/>
      <c r="W1053" s="6" t="s">
        <v>2001</v>
      </c>
    </row>
    <row r="1054" spans="1:23" x14ac:dyDescent="0.15">
      <c r="A1054" s="2" t="s">
        <v>202</v>
      </c>
      <c r="B1054" s="2" t="s">
        <v>3936</v>
      </c>
      <c r="C1054" s="2" t="s">
        <v>931</v>
      </c>
      <c r="D1054" s="2" t="s">
        <v>2751</v>
      </c>
      <c r="E1054" s="1" t="s">
        <v>4103</v>
      </c>
      <c r="F1054" s="2" t="s">
        <v>374</v>
      </c>
      <c r="G1054" s="2" t="s">
        <v>374</v>
      </c>
      <c r="H1054" s="2" t="str">
        <f t="shared" si="41"/>
        <v>C</v>
      </c>
      <c r="I1054" s="5">
        <v>15.82</v>
      </c>
      <c r="J1054" s="5">
        <v>740</v>
      </c>
      <c r="K1054" s="5"/>
      <c r="L1054" s="5"/>
      <c r="M1054" s="2" t="s">
        <v>571</v>
      </c>
      <c r="N1054" s="5"/>
      <c r="O1054" s="5"/>
      <c r="P1054" s="5"/>
      <c r="R1054" s="5"/>
      <c r="S1054" s="5"/>
      <c r="V1054" s="5"/>
      <c r="W1054" s="6" t="s">
        <v>4102</v>
      </c>
    </row>
    <row r="1055" spans="1:23" x14ac:dyDescent="0.15">
      <c r="A1055" s="2" t="s">
        <v>202</v>
      </c>
      <c r="B1055" s="2" t="s">
        <v>3936</v>
      </c>
      <c r="C1055" s="2" t="s">
        <v>931</v>
      </c>
      <c r="D1055" s="2" t="s">
        <v>2751</v>
      </c>
      <c r="E1055" s="1" t="s">
        <v>932</v>
      </c>
      <c r="F1055" s="2" t="s">
        <v>374</v>
      </c>
      <c r="G1055" s="2" t="s">
        <v>374</v>
      </c>
      <c r="H1055" s="2" t="str">
        <f t="shared" si="41"/>
        <v>C</v>
      </c>
      <c r="I1055" s="5">
        <v>15.87</v>
      </c>
      <c r="J1055" s="5">
        <v>636.70000000000005</v>
      </c>
      <c r="K1055" s="5"/>
      <c r="L1055" s="5"/>
      <c r="M1055" s="2" t="s">
        <v>571</v>
      </c>
      <c r="N1055" s="5"/>
      <c r="O1055" s="5"/>
      <c r="P1055" s="5"/>
      <c r="R1055" s="5"/>
      <c r="S1055" s="5"/>
      <c r="V1055" s="5"/>
      <c r="W1055" s="6" t="s">
        <v>4102</v>
      </c>
    </row>
    <row r="1056" spans="1:23" x14ac:dyDescent="0.15">
      <c r="A1056" s="2" t="s">
        <v>202</v>
      </c>
      <c r="B1056" s="2" t="s">
        <v>3936</v>
      </c>
      <c r="C1056" s="2" t="s">
        <v>931</v>
      </c>
      <c r="D1056" s="2" t="s">
        <v>2751</v>
      </c>
      <c r="E1056" s="1" t="s">
        <v>3493</v>
      </c>
      <c r="F1056" s="2" t="s">
        <v>220</v>
      </c>
      <c r="G1056" s="2">
        <v>9</v>
      </c>
      <c r="H1056" s="2" t="str">
        <f t="shared" si="41"/>
        <v>W</v>
      </c>
      <c r="I1056" s="5">
        <v>17.399999999999999</v>
      </c>
      <c r="J1056" s="5">
        <v>1007</v>
      </c>
      <c r="K1056" s="5">
        <v>4.4000000000000004</v>
      </c>
      <c r="L1056" s="5"/>
      <c r="M1056" s="2" t="s">
        <v>571</v>
      </c>
      <c r="N1056" s="5"/>
      <c r="O1056" s="5"/>
      <c r="P1056" s="5"/>
      <c r="R1056" s="5"/>
      <c r="S1056" s="5"/>
      <c r="V1056" s="5"/>
      <c r="W1056" s="6" t="s">
        <v>4102</v>
      </c>
    </row>
    <row r="1057" spans="1:23" x14ac:dyDescent="0.15">
      <c r="A1057" s="2" t="s">
        <v>202</v>
      </c>
      <c r="B1057" s="2" t="s">
        <v>3936</v>
      </c>
      <c r="C1057" s="2" t="s">
        <v>931</v>
      </c>
      <c r="D1057" s="2" t="s">
        <v>581</v>
      </c>
      <c r="E1057" s="1"/>
      <c r="F1057" s="2" t="s">
        <v>374</v>
      </c>
      <c r="G1057" s="2" t="s">
        <v>374</v>
      </c>
      <c r="H1057" s="2" t="str">
        <f t="shared" si="41"/>
        <v>C</v>
      </c>
      <c r="I1057" s="5">
        <v>14.2</v>
      </c>
      <c r="J1057" s="5">
        <v>405.1</v>
      </c>
      <c r="K1057" s="5"/>
      <c r="L1057" s="7">
        <v>1.67</v>
      </c>
      <c r="M1057" s="2" t="s">
        <v>571</v>
      </c>
      <c r="N1057" s="7"/>
      <c r="O1057" s="5"/>
      <c r="P1057" s="5"/>
      <c r="R1057" s="5"/>
      <c r="S1057" s="5"/>
      <c r="T1057" s="7">
        <f>MEDIAN(1,2)</f>
        <v>1.5</v>
      </c>
      <c r="U1057" s="2" t="str">
        <f>IF(T1057&lt;=1, "1",IF(AND(T1057&gt;1,T1057&lt;4), "2-3", "+4"))</f>
        <v>2-3</v>
      </c>
      <c r="V1057" s="5"/>
      <c r="W1057" s="6" t="s">
        <v>2208</v>
      </c>
    </row>
    <row r="1058" spans="1:23" x14ac:dyDescent="0.15">
      <c r="A1058" s="2" t="s">
        <v>202</v>
      </c>
      <c r="B1058" s="2" t="s">
        <v>3936</v>
      </c>
      <c r="C1058" s="2" t="s">
        <v>931</v>
      </c>
      <c r="D1058" s="2" t="s">
        <v>581</v>
      </c>
      <c r="E1058" s="1"/>
      <c r="F1058" s="2" t="s">
        <v>374</v>
      </c>
      <c r="G1058" s="2" t="s">
        <v>374</v>
      </c>
      <c r="H1058" s="2" t="str">
        <f t="shared" si="41"/>
        <v>C</v>
      </c>
      <c r="I1058" s="5">
        <v>13.31</v>
      </c>
      <c r="J1058" s="5">
        <v>402.5</v>
      </c>
      <c r="K1058" s="5"/>
      <c r="L1058" s="5">
        <v>3</v>
      </c>
      <c r="M1058" s="2" t="s">
        <v>571</v>
      </c>
      <c r="N1058" s="5">
        <v>40.5</v>
      </c>
      <c r="O1058" s="5">
        <v>22.5</v>
      </c>
      <c r="P1058" s="5">
        <v>11.51</v>
      </c>
      <c r="Q1058" s="2" t="s">
        <v>376</v>
      </c>
      <c r="R1058" s="5">
        <v>34.520000000000003</v>
      </c>
      <c r="S1058" s="5">
        <v>8.58</v>
      </c>
      <c r="V1058" s="5"/>
      <c r="W1058" s="6" t="s">
        <v>2000</v>
      </c>
    </row>
    <row r="1059" spans="1:23" x14ac:dyDescent="0.15">
      <c r="A1059" s="2" t="s">
        <v>202</v>
      </c>
      <c r="B1059" s="2" t="s">
        <v>3936</v>
      </c>
      <c r="C1059" s="2" t="s">
        <v>931</v>
      </c>
      <c r="D1059" s="2" t="s">
        <v>581</v>
      </c>
      <c r="E1059" s="1"/>
      <c r="F1059" s="2" t="s">
        <v>374</v>
      </c>
      <c r="G1059" s="2" t="s">
        <v>374</v>
      </c>
      <c r="H1059" s="2" t="str">
        <f t="shared" si="41"/>
        <v>C</v>
      </c>
      <c r="I1059" s="5">
        <f>(EXP(LN(J1059/0.000003689)/3.7369))/10</f>
        <v>15.403101911561404</v>
      </c>
      <c r="J1059" s="5">
        <v>551.79999999999995</v>
      </c>
      <c r="K1059" s="5"/>
      <c r="L1059" s="5">
        <v>1.5</v>
      </c>
      <c r="M1059" s="2" t="s">
        <v>571</v>
      </c>
      <c r="N1059" s="5">
        <v>41.64</v>
      </c>
      <c r="O1059" s="5">
        <v>21.05</v>
      </c>
      <c r="P1059" s="5">
        <v>12.93</v>
      </c>
      <c r="Q1059" s="2" t="s">
        <v>18</v>
      </c>
      <c r="R1059" s="5">
        <v>19.39</v>
      </c>
      <c r="S1059" s="5">
        <v>3.5139999999999998</v>
      </c>
      <c r="T1059" s="2">
        <v>1</v>
      </c>
      <c r="U1059" s="2" t="str">
        <f>IF(T1059&lt;=1, "1",IF(AND(T1059&gt;1,T1059&lt;4), "2-3", "+4"))</f>
        <v>1</v>
      </c>
      <c r="V1059" s="5">
        <f>S1059*T1059</f>
        <v>3.5139999999999998</v>
      </c>
      <c r="W1059" s="6" t="s">
        <v>3355</v>
      </c>
    </row>
    <row r="1060" spans="1:23" x14ac:dyDescent="0.15">
      <c r="A1060" s="2" t="s">
        <v>202</v>
      </c>
      <c r="B1060" s="2" t="s">
        <v>3936</v>
      </c>
      <c r="C1060" s="2" t="s">
        <v>931</v>
      </c>
      <c r="D1060" s="2" t="s">
        <v>581</v>
      </c>
      <c r="E1060" s="1"/>
      <c r="F1060" s="2" t="s">
        <v>374</v>
      </c>
      <c r="G1060" s="2" t="s">
        <v>374</v>
      </c>
      <c r="H1060" s="2" t="str">
        <f t="shared" si="41"/>
        <v>C</v>
      </c>
      <c r="I1060" s="5">
        <f>(EXP(LN(J1060/0.000003689)/3.7369))/10</f>
        <v>16.570439747768599</v>
      </c>
      <c r="J1060" s="5">
        <v>725</v>
      </c>
      <c r="K1060" s="5"/>
      <c r="L1060" s="5">
        <v>1.5</v>
      </c>
      <c r="M1060" s="2" t="s">
        <v>571</v>
      </c>
      <c r="N1060" s="5">
        <v>44.29</v>
      </c>
      <c r="O1060" s="5">
        <v>23.27</v>
      </c>
      <c r="P1060" s="5">
        <v>14.93</v>
      </c>
      <c r="Q1060" s="2" t="s">
        <v>18</v>
      </c>
      <c r="R1060" s="5">
        <v>22.395</v>
      </c>
      <c r="S1060" s="5">
        <v>3.089</v>
      </c>
      <c r="T1060" s="2">
        <v>1</v>
      </c>
      <c r="U1060" s="2" t="str">
        <f>IF(T1060&lt;=1, "1",IF(AND(T1060&gt;1,T1060&lt;4), "2-3", "+4"))</f>
        <v>1</v>
      </c>
      <c r="V1060" s="5">
        <f>S1060*T1060</f>
        <v>3.089</v>
      </c>
      <c r="W1060" s="6" t="s">
        <v>3354</v>
      </c>
    </row>
    <row r="1061" spans="1:23" x14ac:dyDescent="0.15">
      <c r="A1061" s="2" t="s">
        <v>202</v>
      </c>
      <c r="B1061" s="2" t="s">
        <v>3936</v>
      </c>
      <c r="C1061" s="2" t="s">
        <v>931</v>
      </c>
      <c r="D1061" s="2" t="s">
        <v>581</v>
      </c>
      <c r="E1061" s="1"/>
      <c r="F1061" s="2" t="s">
        <v>374</v>
      </c>
      <c r="G1061" s="2" t="s">
        <v>374</v>
      </c>
      <c r="H1061" s="2" t="str">
        <f t="shared" si="41"/>
        <v>C</v>
      </c>
      <c r="I1061" s="5">
        <v>13.98</v>
      </c>
      <c r="J1061" s="5">
        <f xml:space="preserve"> 0.000003689*(I1061*10)^3.7369</f>
        <v>384.10893003584937</v>
      </c>
      <c r="K1061" s="7"/>
      <c r="L1061" s="7"/>
      <c r="M1061" s="2" t="s">
        <v>571</v>
      </c>
      <c r="N1061" s="5"/>
      <c r="O1061" s="5"/>
      <c r="P1061" s="5"/>
      <c r="R1061" s="5"/>
      <c r="S1061" s="5"/>
      <c r="T1061" s="9"/>
      <c r="U1061" s="9"/>
      <c r="V1061" s="5"/>
      <c r="W1061" s="6" t="s">
        <v>2474</v>
      </c>
    </row>
    <row r="1062" spans="1:23" x14ac:dyDescent="0.15">
      <c r="A1062" s="2" t="s">
        <v>202</v>
      </c>
      <c r="B1062" s="2" t="s">
        <v>3936</v>
      </c>
      <c r="C1062" s="2" t="s">
        <v>931</v>
      </c>
      <c r="D1062" s="2" t="s">
        <v>581</v>
      </c>
      <c r="E1062" s="1"/>
      <c r="F1062" s="2" t="s">
        <v>374</v>
      </c>
      <c r="G1062" s="2" t="s">
        <v>374</v>
      </c>
      <c r="H1062" s="2" t="str">
        <f t="shared" si="41"/>
        <v>C</v>
      </c>
      <c r="I1062" s="5">
        <v>14.43</v>
      </c>
      <c r="J1062" s="5">
        <v>434</v>
      </c>
      <c r="K1062" s="5"/>
      <c r="L1062" s="5">
        <v>5</v>
      </c>
      <c r="M1062" s="2" t="s">
        <v>571</v>
      </c>
      <c r="N1062" s="5">
        <v>41.5</v>
      </c>
      <c r="O1062" s="5">
        <v>19.600000000000001</v>
      </c>
      <c r="P1062" s="5">
        <v>9.8000000000000007</v>
      </c>
      <c r="Q1062" s="2" t="s">
        <v>18</v>
      </c>
      <c r="R1062" s="5">
        <v>49</v>
      </c>
      <c r="S1062" s="5">
        <v>11.44</v>
      </c>
      <c r="V1062" s="5"/>
      <c r="W1062" s="6" t="s">
        <v>2473</v>
      </c>
    </row>
    <row r="1063" spans="1:23" x14ac:dyDescent="0.15">
      <c r="A1063" s="2" t="s">
        <v>202</v>
      </c>
      <c r="B1063" s="2" t="s">
        <v>3936</v>
      </c>
      <c r="C1063" s="2" t="s">
        <v>931</v>
      </c>
      <c r="D1063" s="2" t="s">
        <v>581</v>
      </c>
      <c r="E1063" s="1"/>
      <c r="F1063" s="2" t="s">
        <v>209</v>
      </c>
      <c r="G1063" s="2">
        <v>31</v>
      </c>
      <c r="H1063" s="2" t="str">
        <f t="shared" si="41"/>
        <v>W</v>
      </c>
      <c r="I1063" s="5">
        <v>12.6</v>
      </c>
      <c r="J1063" s="5">
        <v>300</v>
      </c>
      <c r="K1063" s="5"/>
      <c r="L1063" s="5">
        <v>1</v>
      </c>
      <c r="M1063" s="2" t="s">
        <v>571</v>
      </c>
      <c r="N1063" s="5">
        <v>35.799999999999997</v>
      </c>
      <c r="O1063" s="5">
        <v>19.5</v>
      </c>
      <c r="P1063" s="5">
        <v>7.8</v>
      </c>
      <c r="Q1063" s="2" t="s">
        <v>18</v>
      </c>
      <c r="R1063" s="5">
        <f>1*P1063</f>
        <v>7.8</v>
      </c>
      <c r="S1063" s="5">
        <f>(R1063/J1063)*100</f>
        <v>2.6</v>
      </c>
      <c r="V1063" s="5"/>
      <c r="W1063" s="6" t="s">
        <v>3287</v>
      </c>
    </row>
    <row r="1064" spans="1:23" x14ac:dyDescent="0.15">
      <c r="A1064" s="2" t="s">
        <v>202</v>
      </c>
      <c r="B1064" s="2" t="s">
        <v>3936</v>
      </c>
      <c r="C1064" s="2" t="s">
        <v>931</v>
      </c>
      <c r="D1064" s="2" t="s">
        <v>727</v>
      </c>
      <c r="E1064" s="1"/>
      <c r="F1064" s="2" t="s">
        <v>374</v>
      </c>
      <c r="G1064" s="2" t="s">
        <v>374</v>
      </c>
      <c r="H1064" s="2" t="str">
        <f t="shared" si="41"/>
        <v>C</v>
      </c>
      <c r="I1064" s="5"/>
      <c r="J1064" s="5"/>
      <c r="K1064" s="5"/>
      <c r="L1064" s="7">
        <f>MEDIAN(1,2)</f>
        <v>1.5</v>
      </c>
      <c r="M1064" s="2" t="s">
        <v>571</v>
      </c>
      <c r="N1064" s="5">
        <v>55.4</v>
      </c>
      <c r="O1064" s="5">
        <v>30</v>
      </c>
      <c r="P1064" s="5"/>
      <c r="R1064" s="5"/>
      <c r="S1064" s="7"/>
      <c r="V1064" s="5"/>
      <c r="W1064" s="6" t="s">
        <v>2487</v>
      </c>
    </row>
    <row r="1065" spans="1:23" x14ac:dyDescent="0.15">
      <c r="A1065" s="2" t="s">
        <v>202</v>
      </c>
      <c r="B1065" s="2" t="s">
        <v>3936</v>
      </c>
      <c r="C1065" s="2" t="s">
        <v>931</v>
      </c>
      <c r="D1065" s="2" t="s">
        <v>727</v>
      </c>
      <c r="E1065" s="1"/>
      <c r="F1065" s="2" t="s">
        <v>374</v>
      </c>
      <c r="G1065" s="2" t="s">
        <v>374</v>
      </c>
      <c r="H1065" s="2" t="str">
        <f t="shared" si="41"/>
        <v>C</v>
      </c>
      <c r="I1065" s="5"/>
      <c r="J1065" s="5"/>
      <c r="K1065" s="5"/>
      <c r="L1065" s="7">
        <f>MEDIAN(1,3)</f>
        <v>2</v>
      </c>
      <c r="M1065" s="2" t="s">
        <v>571</v>
      </c>
      <c r="N1065" s="5"/>
      <c r="O1065" s="5"/>
      <c r="P1065" s="5">
        <v>33.43</v>
      </c>
      <c r="Q1065" s="2" t="s">
        <v>18</v>
      </c>
      <c r="R1065" s="5">
        <v>66.86</v>
      </c>
      <c r="S1065" s="7"/>
      <c r="T1065" s="2">
        <v>2</v>
      </c>
      <c r="U1065" s="2" t="str">
        <f>IF(T1065&lt;=1, "1",IF(AND(T1065&gt;1,T1065&lt;4), "2-3", "+4"))</f>
        <v>2-3</v>
      </c>
      <c r="V1065" s="5"/>
      <c r="W1065" s="6" t="s">
        <v>3853</v>
      </c>
    </row>
    <row r="1066" spans="1:23" x14ac:dyDescent="0.15">
      <c r="A1066" s="2" t="s">
        <v>202</v>
      </c>
      <c r="B1066" s="2" t="s">
        <v>3936</v>
      </c>
      <c r="C1066" s="2" t="s">
        <v>931</v>
      </c>
      <c r="D1066" s="2" t="s">
        <v>727</v>
      </c>
      <c r="E1066" s="1"/>
      <c r="F1066" s="2" t="s">
        <v>374</v>
      </c>
      <c r="G1066" s="2" t="s">
        <v>374</v>
      </c>
      <c r="H1066" s="2" t="str">
        <f t="shared" si="41"/>
        <v>C</v>
      </c>
      <c r="I1066" s="5"/>
      <c r="J1066" s="5"/>
      <c r="K1066" s="7"/>
      <c r="L1066" s="7">
        <v>1.25</v>
      </c>
      <c r="M1066" s="2" t="s">
        <v>571</v>
      </c>
      <c r="N1066" s="5">
        <v>55.4</v>
      </c>
      <c r="O1066" s="5">
        <v>30</v>
      </c>
      <c r="P1066" s="5">
        <v>28.97</v>
      </c>
      <c r="Q1066" s="2" t="s">
        <v>376</v>
      </c>
      <c r="R1066" s="5">
        <v>36.21</v>
      </c>
      <c r="S1066" s="5"/>
      <c r="T1066" s="9" t="s">
        <v>382</v>
      </c>
      <c r="U1066" s="40" t="s">
        <v>395</v>
      </c>
      <c r="V1066" s="5"/>
      <c r="W1066" s="6" t="s">
        <v>3921</v>
      </c>
    </row>
    <row r="1067" spans="1:23" x14ac:dyDescent="0.15">
      <c r="A1067" s="2" t="s">
        <v>202</v>
      </c>
      <c r="B1067" s="2" t="s">
        <v>3936</v>
      </c>
      <c r="C1067" s="2" t="s">
        <v>931</v>
      </c>
      <c r="D1067" s="2" t="s">
        <v>727</v>
      </c>
      <c r="E1067" s="1"/>
      <c r="F1067" s="2" t="s">
        <v>374</v>
      </c>
      <c r="G1067" s="2" t="s">
        <v>374</v>
      </c>
      <c r="H1067" s="2" t="str">
        <f t="shared" si="41"/>
        <v>C</v>
      </c>
      <c r="I1067" s="5"/>
      <c r="J1067" s="5"/>
      <c r="K1067" s="5"/>
      <c r="L1067" s="5">
        <v>3.2</v>
      </c>
      <c r="M1067" s="2" t="s">
        <v>571</v>
      </c>
      <c r="N1067" s="5"/>
      <c r="O1067" s="5"/>
      <c r="P1067" s="5"/>
      <c r="R1067" s="5"/>
      <c r="S1067" s="5"/>
      <c r="T1067" s="2">
        <v>2</v>
      </c>
      <c r="U1067" s="2" t="str">
        <f>IF(T1067&lt;=1, "1",IF(AND(T1067&gt;1,T1067&lt;4), "2-3", "+4"))</f>
        <v>2-3</v>
      </c>
      <c r="V1067" s="5"/>
      <c r="W1067" s="6" t="s">
        <v>2482</v>
      </c>
    </row>
    <row r="1068" spans="1:23" x14ac:dyDescent="0.15">
      <c r="A1068" s="2" t="s">
        <v>202</v>
      </c>
      <c r="B1068" s="2" t="s">
        <v>3936</v>
      </c>
      <c r="C1068" s="2" t="s">
        <v>931</v>
      </c>
      <c r="D1068" s="2" t="s">
        <v>727</v>
      </c>
      <c r="E1068" s="1"/>
      <c r="F1068" s="2" t="s">
        <v>374</v>
      </c>
      <c r="G1068" s="2" t="s">
        <v>374</v>
      </c>
      <c r="H1068" s="2" t="str">
        <f t="shared" si="41"/>
        <v>C</v>
      </c>
      <c r="I1068" s="5"/>
      <c r="J1068" s="5"/>
      <c r="K1068" s="5"/>
      <c r="L1068" s="7">
        <f>MEDIAN(1,2)</f>
        <v>1.5</v>
      </c>
      <c r="M1068" s="2" t="s">
        <v>571</v>
      </c>
      <c r="N1068" s="5"/>
      <c r="O1068" s="5"/>
      <c r="P1068" s="7">
        <f>MEDIAN(25,30)</f>
        <v>27.5</v>
      </c>
      <c r="Q1068" s="2" t="s">
        <v>18</v>
      </c>
      <c r="R1068" s="5">
        <f>P1068*L1068</f>
        <v>41.25</v>
      </c>
      <c r="S1068" s="5"/>
      <c r="T1068" s="2">
        <v>1</v>
      </c>
      <c r="U1068" s="2" t="str">
        <f>IF(T1068&lt;=1, "1",IF(AND(T1068&gt;1,T1068&lt;4), "2-3", "+4"))</f>
        <v>1</v>
      </c>
      <c r="V1068" s="5"/>
      <c r="W1068" s="6" t="s">
        <v>2475</v>
      </c>
    </row>
    <row r="1069" spans="1:23" x14ac:dyDescent="0.15">
      <c r="A1069" s="2" t="s">
        <v>202</v>
      </c>
      <c r="B1069" s="2" t="s">
        <v>3936</v>
      </c>
      <c r="C1069" s="2" t="s">
        <v>931</v>
      </c>
      <c r="D1069" s="2" t="s">
        <v>727</v>
      </c>
      <c r="E1069" s="1"/>
      <c r="F1069" s="2" t="s">
        <v>374</v>
      </c>
      <c r="G1069" s="2" t="s">
        <v>374</v>
      </c>
      <c r="H1069" s="2" t="str">
        <f t="shared" si="41"/>
        <v>C</v>
      </c>
      <c r="I1069" s="5"/>
      <c r="J1069" s="5"/>
      <c r="K1069" s="5"/>
      <c r="L1069" s="7">
        <f>MEDIAN(1,2)</f>
        <v>1.5</v>
      </c>
      <c r="M1069" s="2" t="s">
        <v>571</v>
      </c>
      <c r="N1069" s="5"/>
      <c r="O1069" s="5"/>
      <c r="P1069" s="7">
        <f>MEDIAN(25,30)</f>
        <v>27.5</v>
      </c>
      <c r="Q1069" s="2" t="s">
        <v>18</v>
      </c>
      <c r="R1069" s="5">
        <f>P1069*L1069</f>
        <v>41.25</v>
      </c>
      <c r="S1069" s="7"/>
      <c r="T1069" s="7">
        <f>MEDIAN(1,2)</f>
        <v>1.5</v>
      </c>
      <c r="U1069" s="2" t="str">
        <f>IF(T1069&lt;=1, "1",IF(AND(T1069&gt;1,T1069&lt;4), "2-3", "+4"))</f>
        <v>2-3</v>
      </c>
      <c r="V1069" s="5"/>
      <c r="W1069" s="6" t="s">
        <v>2477</v>
      </c>
    </row>
    <row r="1070" spans="1:23" x14ac:dyDescent="0.15">
      <c r="A1070" s="2" t="s">
        <v>202</v>
      </c>
      <c r="B1070" s="2" t="s">
        <v>3936</v>
      </c>
      <c r="C1070" s="2" t="s">
        <v>931</v>
      </c>
      <c r="D1070" s="2" t="s">
        <v>727</v>
      </c>
      <c r="E1070" s="1"/>
      <c r="F1070" s="2" t="s">
        <v>374</v>
      </c>
      <c r="G1070" s="2" t="s">
        <v>374</v>
      </c>
      <c r="H1070" s="2" t="str">
        <f t="shared" ref="H1070:H1133" si="42">IF(G1070="captive","C","W")</f>
        <v>C</v>
      </c>
      <c r="I1070" s="5"/>
      <c r="J1070" s="5"/>
      <c r="K1070" s="5"/>
      <c r="L1070" s="5">
        <v>1.58</v>
      </c>
      <c r="M1070" s="2" t="s">
        <v>571</v>
      </c>
      <c r="N1070" s="5">
        <v>59.42</v>
      </c>
      <c r="O1070" s="5">
        <v>30.84</v>
      </c>
      <c r="P1070" s="5">
        <v>32.700000000000003</v>
      </c>
      <c r="Q1070" s="2" t="s">
        <v>18</v>
      </c>
      <c r="R1070" s="5">
        <v>51.67</v>
      </c>
      <c r="S1070" s="7"/>
      <c r="T1070" s="2" t="s">
        <v>382</v>
      </c>
      <c r="U1070" s="40" t="s">
        <v>395</v>
      </c>
      <c r="V1070" s="5"/>
      <c r="W1070" s="6" t="s">
        <v>2476</v>
      </c>
    </row>
    <row r="1071" spans="1:23" x14ac:dyDescent="0.15">
      <c r="A1071" s="2" t="s">
        <v>202</v>
      </c>
      <c r="B1071" s="2" t="s">
        <v>3936</v>
      </c>
      <c r="C1071" s="2" t="s">
        <v>931</v>
      </c>
      <c r="D1071" s="2" t="s">
        <v>727</v>
      </c>
      <c r="E1071" s="1"/>
      <c r="F1071" s="2" t="s">
        <v>2432</v>
      </c>
      <c r="G1071" s="2" t="s">
        <v>374</v>
      </c>
      <c r="H1071" s="2" t="str">
        <f t="shared" si="42"/>
        <v>C</v>
      </c>
      <c r="I1071" s="5">
        <v>15</v>
      </c>
      <c r="J1071" s="5">
        <v>748.43</v>
      </c>
      <c r="K1071" s="7"/>
      <c r="L1071" s="7"/>
      <c r="M1071" s="2" t="s">
        <v>571</v>
      </c>
      <c r="N1071" s="5"/>
      <c r="O1071" s="5"/>
      <c r="P1071" s="5"/>
      <c r="R1071" s="5"/>
      <c r="S1071" s="5"/>
      <c r="T1071" s="9"/>
      <c r="U1071" s="9"/>
      <c r="V1071" s="5"/>
      <c r="W1071" s="6" t="s">
        <v>2479</v>
      </c>
    </row>
    <row r="1072" spans="1:23" x14ac:dyDescent="0.15">
      <c r="A1072" s="2" t="s">
        <v>202</v>
      </c>
      <c r="B1072" s="2" t="s">
        <v>3936</v>
      </c>
      <c r="C1072" s="2" t="s">
        <v>931</v>
      </c>
      <c r="D1072" s="2" t="s">
        <v>727</v>
      </c>
      <c r="E1072" s="1"/>
      <c r="F1072" s="2" t="s">
        <v>374</v>
      </c>
      <c r="G1072" s="2" t="s">
        <v>374</v>
      </c>
      <c r="H1072" s="2" t="str">
        <f t="shared" si="42"/>
        <v>C</v>
      </c>
      <c r="I1072" s="5">
        <v>14.85</v>
      </c>
      <c r="J1072" s="5">
        <v>700</v>
      </c>
      <c r="K1072" s="7">
        <f>MEDIAN(4,6)</f>
        <v>5</v>
      </c>
      <c r="L1072" s="5">
        <v>2</v>
      </c>
      <c r="M1072" s="2" t="s">
        <v>571</v>
      </c>
      <c r="N1072" s="5"/>
      <c r="O1072" s="5"/>
      <c r="P1072" s="5"/>
      <c r="R1072" s="5"/>
      <c r="S1072" s="5"/>
      <c r="V1072" s="5"/>
      <c r="W1072" s="6" t="s">
        <v>2480</v>
      </c>
    </row>
    <row r="1073" spans="1:23" x14ac:dyDescent="0.15">
      <c r="A1073" s="2" t="s">
        <v>202</v>
      </c>
      <c r="B1073" s="2" t="s">
        <v>3936</v>
      </c>
      <c r="C1073" s="2" t="s">
        <v>931</v>
      </c>
      <c r="D1073" s="2" t="s">
        <v>727</v>
      </c>
      <c r="E1073" s="1"/>
      <c r="F1073" s="2" t="s">
        <v>374</v>
      </c>
      <c r="G1073" s="2" t="s">
        <v>374</v>
      </c>
      <c r="H1073" s="2" t="str">
        <f t="shared" si="42"/>
        <v>C</v>
      </c>
      <c r="I1073" s="5"/>
      <c r="J1073" s="5"/>
      <c r="K1073" s="7"/>
      <c r="L1073" s="5">
        <v>2</v>
      </c>
      <c r="M1073" s="2" t="s">
        <v>571</v>
      </c>
      <c r="N1073" s="5">
        <v>54.65</v>
      </c>
      <c r="O1073" s="5">
        <v>30</v>
      </c>
      <c r="P1073" s="5">
        <v>30</v>
      </c>
      <c r="Q1073" s="2" t="s">
        <v>18</v>
      </c>
      <c r="R1073" s="5">
        <v>60</v>
      </c>
      <c r="S1073" s="5"/>
      <c r="V1073" s="5"/>
      <c r="W1073" s="6" t="s">
        <v>2481</v>
      </c>
    </row>
    <row r="1074" spans="1:23" x14ac:dyDescent="0.15">
      <c r="A1074" s="2" t="s">
        <v>202</v>
      </c>
      <c r="B1074" s="2" t="s">
        <v>3936</v>
      </c>
      <c r="C1074" s="2" t="s">
        <v>931</v>
      </c>
      <c r="D1074" s="2" t="s">
        <v>728</v>
      </c>
      <c r="E1074" s="1"/>
      <c r="F1074" s="2" t="s">
        <v>29</v>
      </c>
      <c r="H1074" s="2" t="s">
        <v>3887</v>
      </c>
      <c r="I1074" s="5"/>
      <c r="J1074" s="5"/>
      <c r="K1074" s="5"/>
      <c r="L1074" s="5"/>
      <c r="M1074" s="4" t="s">
        <v>571</v>
      </c>
      <c r="N1074" s="5"/>
      <c r="O1074" s="5"/>
      <c r="P1074" s="5"/>
      <c r="R1074" s="5"/>
      <c r="S1074" s="5"/>
      <c r="V1074" s="5"/>
      <c r="W1074" s="6" t="s">
        <v>838</v>
      </c>
    </row>
    <row r="1075" spans="1:23" x14ac:dyDescent="0.15">
      <c r="A1075" s="2" t="s">
        <v>202</v>
      </c>
      <c r="B1075" s="2" t="s">
        <v>3936</v>
      </c>
      <c r="C1075" s="2" t="s">
        <v>931</v>
      </c>
      <c r="D1075" s="2" t="s">
        <v>414</v>
      </c>
      <c r="E1075" s="1" t="s">
        <v>933</v>
      </c>
      <c r="F1075" s="2" t="s">
        <v>374</v>
      </c>
      <c r="G1075" s="2" t="s">
        <v>374</v>
      </c>
      <c r="H1075" s="2" t="str">
        <f t="shared" si="42"/>
        <v>C</v>
      </c>
      <c r="I1075" s="5"/>
      <c r="J1075" s="5"/>
      <c r="K1075" s="5"/>
      <c r="L1075" s="7">
        <f>MEDIAN(1,3)</f>
        <v>2</v>
      </c>
      <c r="M1075" s="2" t="s">
        <v>571</v>
      </c>
      <c r="N1075" s="7">
        <f>MEDIAN(41,53)</f>
        <v>47</v>
      </c>
      <c r="O1075" s="7">
        <f>MEDIAN(20,27)</f>
        <v>23.5</v>
      </c>
      <c r="P1075" s="5"/>
      <c r="R1075" s="5"/>
      <c r="S1075" s="7"/>
      <c r="V1075" s="5"/>
      <c r="W1075" s="6" t="s">
        <v>2487</v>
      </c>
    </row>
    <row r="1076" spans="1:23" x14ac:dyDescent="0.15">
      <c r="A1076" s="2" t="s">
        <v>202</v>
      </c>
      <c r="B1076" s="2" t="s">
        <v>3936</v>
      </c>
      <c r="C1076" s="2" t="s">
        <v>931</v>
      </c>
      <c r="D1076" s="2" t="s">
        <v>414</v>
      </c>
      <c r="E1076" s="1" t="s">
        <v>933</v>
      </c>
      <c r="F1076" s="2" t="s">
        <v>4466</v>
      </c>
      <c r="G1076" s="2" t="s">
        <v>374</v>
      </c>
      <c r="H1076" s="2" t="str">
        <f t="shared" si="42"/>
        <v>C</v>
      </c>
      <c r="I1076" s="5"/>
      <c r="J1076" s="5"/>
      <c r="K1076" s="5"/>
      <c r="L1076" s="5">
        <v>1.75</v>
      </c>
      <c r="M1076" s="2" t="s">
        <v>571</v>
      </c>
      <c r="N1076" s="5"/>
      <c r="O1076" s="5"/>
      <c r="P1076" s="5"/>
      <c r="R1076" s="5"/>
      <c r="S1076" s="5"/>
      <c r="V1076" s="5"/>
      <c r="W1076" s="6" t="s">
        <v>2483</v>
      </c>
    </row>
    <row r="1077" spans="1:23" x14ac:dyDescent="0.15">
      <c r="A1077" s="2" t="s">
        <v>202</v>
      </c>
      <c r="B1077" s="2" t="s">
        <v>3936</v>
      </c>
      <c r="C1077" s="2" t="s">
        <v>931</v>
      </c>
      <c r="D1077" s="2" t="s">
        <v>414</v>
      </c>
      <c r="E1077" s="1" t="s">
        <v>933</v>
      </c>
      <c r="F1077" s="2" t="s">
        <v>374</v>
      </c>
      <c r="G1077" s="2" t="s">
        <v>374</v>
      </c>
      <c r="H1077" s="2" t="str">
        <f t="shared" si="42"/>
        <v>C</v>
      </c>
      <c r="I1077" s="5">
        <f>EXP((LN(J1077/3.12176))/2.0494)</f>
        <v>13.382358648563423</v>
      </c>
      <c r="J1077" s="5">
        <v>635.5</v>
      </c>
      <c r="K1077" s="5"/>
      <c r="L1077" s="7">
        <v>1.46</v>
      </c>
      <c r="M1077" s="2" t="s">
        <v>571</v>
      </c>
      <c r="N1077" s="7"/>
      <c r="O1077" s="7"/>
      <c r="P1077" s="5">
        <v>14.83</v>
      </c>
      <c r="Q1077" s="2" t="s">
        <v>18</v>
      </c>
      <c r="R1077" s="5">
        <v>21.65</v>
      </c>
      <c r="S1077" s="7">
        <v>3.41</v>
      </c>
      <c r="T1077" s="7">
        <f>MEDIAN(1,2)</f>
        <v>1.5</v>
      </c>
      <c r="U1077" s="2" t="str">
        <f>IF(T1077&lt;=1, "1",IF(AND(T1077&gt;1,T1077&lt;4), "2-3", "+4"))</f>
        <v>2-3</v>
      </c>
      <c r="V1077" s="5">
        <f>S1077*T1077</f>
        <v>5.1150000000000002</v>
      </c>
      <c r="W1077" s="6" t="s">
        <v>2488</v>
      </c>
    </row>
    <row r="1078" spans="1:23" x14ac:dyDescent="0.15">
      <c r="A1078" s="4" t="s">
        <v>202</v>
      </c>
      <c r="B1078" s="2" t="s">
        <v>3936</v>
      </c>
      <c r="C1078" s="4" t="s">
        <v>931</v>
      </c>
      <c r="D1078" s="4" t="s">
        <v>414</v>
      </c>
      <c r="E1078" s="1" t="s">
        <v>933</v>
      </c>
      <c r="F1078" s="4" t="s">
        <v>207</v>
      </c>
      <c r="G1078" s="4" t="s">
        <v>374</v>
      </c>
      <c r="H1078" s="2" t="str">
        <f t="shared" si="42"/>
        <v>C</v>
      </c>
      <c r="I1078" s="5">
        <v>16.619999999999997</v>
      </c>
      <c r="J1078" s="5">
        <v>812</v>
      </c>
      <c r="K1078" s="5">
        <v>13</v>
      </c>
      <c r="L1078" s="5">
        <v>3</v>
      </c>
      <c r="M1078" s="4" t="s">
        <v>571</v>
      </c>
      <c r="N1078" s="33"/>
      <c r="O1078" s="33"/>
      <c r="P1078" s="33"/>
      <c r="Q1078" s="4"/>
      <c r="R1078" s="33"/>
      <c r="S1078" s="33"/>
      <c r="T1078" s="4">
        <v>1.2</v>
      </c>
      <c r="U1078" s="2" t="str">
        <f>IF(T1078&lt;=1, "1",IF(AND(T1078&gt;1,T1078&lt;4), "2-3", "+4"))</f>
        <v>2-3</v>
      </c>
      <c r="V1078" s="33"/>
      <c r="W1078" s="10" t="s">
        <v>1994</v>
      </c>
    </row>
    <row r="1079" spans="1:23" x14ac:dyDescent="0.15">
      <c r="A1079" s="4" t="s">
        <v>202</v>
      </c>
      <c r="B1079" s="2" t="s">
        <v>3936</v>
      </c>
      <c r="C1079" s="4" t="s">
        <v>931</v>
      </c>
      <c r="D1079" s="4" t="s">
        <v>414</v>
      </c>
      <c r="E1079" s="1" t="s">
        <v>933</v>
      </c>
      <c r="F1079" s="4" t="s">
        <v>206</v>
      </c>
      <c r="G1079" s="4">
        <v>25</v>
      </c>
      <c r="H1079" s="2" t="str">
        <f t="shared" si="42"/>
        <v>W</v>
      </c>
      <c r="I1079" s="5">
        <v>15.569999999999999</v>
      </c>
      <c r="J1079" s="5">
        <v>593.1</v>
      </c>
      <c r="K1079" s="5">
        <v>12.5</v>
      </c>
      <c r="L1079" s="5">
        <v>1.6</v>
      </c>
      <c r="M1079" s="4" t="s">
        <v>571</v>
      </c>
      <c r="N1079" s="33">
        <v>48.1</v>
      </c>
      <c r="O1079" s="33">
        <v>26</v>
      </c>
      <c r="P1079" s="33">
        <v>21.5</v>
      </c>
      <c r="Q1079" s="4" t="s">
        <v>18</v>
      </c>
      <c r="R1079" s="33">
        <v>34.4</v>
      </c>
      <c r="S1079" s="33">
        <v>5.8</v>
      </c>
      <c r="T1079" s="4">
        <v>1.9</v>
      </c>
      <c r="U1079" s="2" t="str">
        <f>IF(T1079&lt;=1, "1",IF(AND(T1079&gt;1,T1079&lt;4), "2-3", "+4"))</f>
        <v>2-3</v>
      </c>
      <c r="V1079" s="5">
        <f>S1079*T1079</f>
        <v>11.02</v>
      </c>
      <c r="W1079" s="10" t="s">
        <v>1828</v>
      </c>
    </row>
    <row r="1080" spans="1:23" x14ac:dyDescent="0.15">
      <c r="A1080" s="2" t="s">
        <v>202</v>
      </c>
      <c r="B1080" s="2" t="s">
        <v>3936</v>
      </c>
      <c r="C1080" s="2" t="s">
        <v>931</v>
      </c>
      <c r="D1080" s="2" t="s">
        <v>414</v>
      </c>
      <c r="E1080" s="1" t="s">
        <v>933</v>
      </c>
      <c r="F1080" s="2" t="s">
        <v>216</v>
      </c>
      <c r="G1080" s="2">
        <v>24.92</v>
      </c>
      <c r="H1080" s="2" t="str">
        <f t="shared" si="42"/>
        <v>W</v>
      </c>
      <c r="I1080" s="5">
        <v>15.57</v>
      </c>
      <c r="J1080" s="5">
        <v>593.1</v>
      </c>
      <c r="K1080" s="5"/>
      <c r="L1080" s="5">
        <v>1.6</v>
      </c>
      <c r="M1080" s="2" t="s">
        <v>571</v>
      </c>
      <c r="N1080" s="5">
        <v>48.1</v>
      </c>
      <c r="O1080" s="5">
        <v>26</v>
      </c>
      <c r="P1080" s="5">
        <v>21.5</v>
      </c>
      <c r="Q1080" s="2" t="s">
        <v>18</v>
      </c>
      <c r="R1080" s="5">
        <v>34.4</v>
      </c>
      <c r="S1080" s="5">
        <v>5.8</v>
      </c>
      <c r="T1080" s="2">
        <v>2</v>
      </c>
      <c r="U1080" s="2" t="str">
        <f>IF(T1080&lt;=1, "1",IF(AND(T1080&gt;1,T1080&lt;4), "2-3", "+4"))</f>
        <v>2-3</v>
      </c>
      <c r="V1080" s="5">
        <f>S1080*T1080</f>
        <v>11.6</v>
      </c>
      <c r="W1080" s="6" t="s">
        <v>1828</v>
      </c>
    </row>
    <row r="1081" spans="1:23" x14ac:dyDescent="0.15">
      <c r="A1081" s="2" t="s">
        <v>202</v>
      </c>
      <c r="B1081" s="2" t="s">
        <v>3936</v>
      </c>
      <c r="C1081" s="2" t="s">
        <v>931</v>
      </c>
      <c r="D1081" s="2" t="s">
        <v>414</v>
      </c>
      <c r="E1081" s="1" t="s">
        <v>933</v>
      </c>
      <c r="F1081" s="2" t="s">
        <v>216</v>
      </c>
      <c r="G1081" s="2">
        <v>24.92</v>
      </c>
      <c r="H1081" s="2" t="str">
        <f t="shared" si="42"/>
        <v>W</v>
      </c>
      <c r="I1081" s="5"/>
      <c r="J1081" s="5"/>
      <c r="K1081" s="5">
        <v>14</v>
      </c>
      <c r="L1081" s="5"/>
      <c r="M1081" s="2" t="s">
        <v>571</v>
      </c>
      <c r="N1081" s="5"/>
      <c r="O1081" s="5"/>
      <c r="P1081" s="5"/>
      <c r="R1081" s="5"/>
      <c r="S1081" s="5"/>
      <c r="V1081" s="5"/>
      <c r="W1081" s="6" t="s">
        <v>2490</v>
      </c>
    </row>
    <row r="1082" spans="1:23" x14ac:dyDescent="0.15">
      <c r="A1082" s="4" t="s">
        <v>202</v>
      </c>
      <c r="B1082" s="2" t="s">
        <v>3936</v>
      </c>
      <c r="C1082" s="4" t="s">
        <v>931</v>
      </c>
      <c r="D1082" s="4" t="s">
        <v>414</v>
      </c>
      <c r="E1082" s="1" t="s">
        <v>933</v>
      </c>
      <c r="F1082" s="2" t="s">
        <v>374</v>
      </c>
      <c r="G1082" s="2" t="s">
        <v>374</v>
      </c>
      <c r="H1082" s="2" t="str">
        <f t="shared" si="42"/>
        <v>C</v>
      </c>
      <c r="I1082" s="5">
        <v>16.62</v>
      </c>
      <c r="J1082" s="5">
        <v>812</v>
      </c>
      <c r="K1082" s="5"/>
      <c r="L1082" s="5">
        <v>3</v>
      </c>
      <c r="M1082" s="2" t="s">
        <v>571</v>
      </c>
      <c r="N1082" s="5"/>
      <c r="O1082" s="5"/>
      <c r="P1082" s="5"/>
      <c r="R1082" s="5"/>
      <c r="S1082" s="5"/>
      <c r="T1082" s="2" t="s">
        <v>122</v>
      </c>
      <c r="V1082" s="5"/>
      <c r="W1082" s="6" t="s">
        <v>2002</v>
      </c>
    </row>
    <row r="1083" spans="1:23" x14ac:dyDescent="0.15">
      <c r="A1083" s="2" t="s">
        <v>202</v>
      </c>
      <c r="B1083" s="2" t="s">
        <v>3936</v>
      </c>
      <c r="C1083" s="2" t="s">
        <v>931</v>
      </c>
      <c r="D1083" s="2" t="s">
        <v>414</v>
      </c>
      <c r="E1083" s="1" t="s">
        <v>933</v>
      </c>
      <c r="F1083" s="2" t="s">
        <v>374</v>
      </c>
      <c r="G1083" s="2" t="s">
        <v>374</v>
      </c>
      <c r="H1083" s="2" t="str">
        <f t="shared" si="42"/>
        <v>C</v>
      </c>
      <c r="I1083" s="5">
        <v>14.72</v>
      </c>
      <c r="J1083" s="5">
        <v>860</v>
      </c>
      <c r="K1083" s="5"/>
      <c r="L1083" s="5">
        <v>1.8</v>
      </c>
      <c r="M1083" s="2" t="s">
        <v>571</v>
      </c>
      <c r="N1083" s="5">
        <v>46.8</v>
      </c>
      <c r="O1083" s="5">
        <v>25.9</v>
      </c>
      <c r="P1083" s="5">
        <v>17.399999999999999</v>
      </c>
      <c r="Q1083" s="2" t="s">
        <v>18</v>
      </c>
      <c r="R1083" s="5">
        <v>31.32</v>
      </c>
      <c r="S1083" s="5">
        <v>3.64</v>
      </c>
      <c r="T1083" s="7">
        <f>MEDIAN(1,2)</f>
        <v>1.5</v>
      </c>
      <c r="U1083" s="2" t="str">
        <f>IF(T1083&lt;=1, "1",IF(AND(T1083&gt;1,T1083&lt;4), "2-3", "+4"))</f>
        <v>2-3</v>
      </c>
      <c r="V1083" s="5">
        <f>S1083*T1083</f>
        <v>5.46</v>
      </c>
      <c r="W1083" s="6" t="s">
        <v>2491</v>
      </c>
    </row>
    <row r="1084" spans="1:23" x14ac:dyDescent="0.15">
      <c r="A1084" s="2" t="s">
        <v>202</v>
      </c>
      <c r="B1084" s="2" t="s">
        <v>3936</v>
      </c>
      <c r="C1084" s="2" t="s">
        <v>931</v>
      </c>
      <c r="D1084" s="2" t="s">
        <v>414</v>
      </c>
      <c r="E1084" s="1" t="s">
        <v>933</v>
      </c>
      <c r="F1084" s="2" t="s">
        <v>217</v>
      </c>
      <c r="G1084" s="2">
        <v>24.41</v>
      </c>
      <c r="H1084" s="2" t="str">
        <f t="shared" si="42"/>
        <v>W</v>
      </c>
      <c r="I1084" s="5">
        <v>14.3</v>
      </c>
      <c r="J1084" s="5">
        <f xml:space="preserve"> 3.12176*I1084^2.0494</f>
        <v>728.02314553755627</v>
      </c>
      <c r="K1084" s="5"/>
      <c r="L1084" s="5">
        <v>2</v>
      </c>
      <c r="M1084" s="2" t="s">
        <v>571</v>
      </c>
      <c r="N1084" s="5">
        <v>38.200000000000003</v>
      </c>
      <c r="O1084" s="5">
        <v>23.4</v>
      </c>
      <c r="P1084" s="5">
        <v>13.2</v>
      </c>
      <c r="Q1084" s="2" t="s">
        <v>18</v>
      </c>
      <c r="R1084" s="5">
        <v>26.4</v>
      </c>
      <c r="S1084" s="5">
        <f>(R1084/J1084)*100</f>
        <v>3.6262583355789904</v>
      </c>
      <c r="T1084" s="9"/>
      <c r="U1084" s="9"/>
      <c r="V1084" s="5"/>
      <c r="W1084" s="6" t="s">
        <v>1930</v>
      </c>
    </row>
    <row r="1085" spans="1:23" x14ac:dyDescent="0.15">
      <c r="A1085" s="2" t="s">
        <v>202</v>
      </c>
      <c r="B1085" s="2" t="s">
        <v>3936</v>
      </c>
      <c r="C1085" s="2" t="s">
        <v>931</v>
      </c>
      <c r="D1085" s="2" t="s">
        <v>414</v>
      </c>
      <c r="E1085" s="1" t="s">
        <v>933</v>
      </c>
      <c r="F1085" s="2" t="s">
        <v>374</v>
      </c>
      <c r="G1085" s="2" t="s">
        <v>374</v>
      </c>
      <c r="H1085" s="2" t="str">
        <f t="shared" si="42"/>
        <v>C</v>
      </c>
      <c r="I1085" s="5">
        <v>14.94</v>
      </c>
      <c r="J1085" s="5">
        <f xml:space="preserve"> 3.12176*I1085^2.0494</f>
        <v>796.36767974632426</v>
      </c>
      <c r="K1085" s="5"/>
      <c r="L1085" s="7">
        <f>MEDIAN(1,3)</f>
        <v>2</v>
      </c>
      <c r="M1085" s="2" t="s">
        <v>571</v>
      </c>
      <c r="N1085" s="5">
        <v>47.52</v>
      </c>
      <c r="O1085" s="5">
        <v>23.46</v>
      </c>
      <c r="P1085" s="5">
        <v>16.57</v>
      </c>
      <c r="Q1085" s="2" t="s">
        <v>376</v>
      </c>
      <c r="R1085" s="5"/>
      <c r="S1085" s="5"/>
      <c r="T1085" s="9"/>
      <c r="U1085" s="9"/>
      <c r="V1085" s="5"/>
      <c r="W1085" s="6" t="s">
        <v>2492</v>
      </c>
    </row>
    <row r="1086" spans="1:23" x14ac:dyDescent="0.15">
      <c r="A1086" s="2" t="s">
        <v>202</v>
      </c>
      <c r="B1086" s="2" t="s">
        <v>3936</v>
      </c>
      <c r="C1086" s="2" t="s">
        <v>931</v>
      </c>
      <c r="D1086" s="2" t="s">
        <v>414</v>
      </c>
      <c r="E1086" s="1" t="s">
        <v>933</v>
      </c>
      <c r="F1086" s="2" t="s">
        <v>209</v>
      </c>
      <c r="G1086" s="2" t="s">
        <v>374</v>
      </c>
      <c r="H1086" s="2" t="str">
        <f t="shared" si="42"/>
        <v>C</v>
      </c>
      <c r="I1086" s="5">
        <f>EXP((LN(J1086/3.12176))/2.0494)</f>
        <v>11.904607574217119</v>
      </c>
      <c r="J1086" s="5">
        <v>500</v>
      </c>
      <c r="K1086" s="5"/>
      <c r="L1086" s="7">
        <f>MEDIAN(2,4)</f>
        <v>3</v>
      </c>
      <c r="M1086" s="2" t="s">
        <v>571</v>
      </c>
      <c r="N1086" s="7">
        <f>MEDIAN(42,47)</f>
        <v>44.5</v>
      </c>
      <c r="O1086" s="7"/>
      <c r="P1086" s="5">
        <f>MEDIAN(8.5,20)</f>
        <v>14.25</v>
      </c>
      <c r="Q1086" s="2" t="s">
        <v>18</v>
      </c>
      <c r="R1086" s="5">
        <f>P1086*L1086</f>
        <v>42.75</v>
      </c>
      <c r="S1086" s="5">
        <f>(R1086/J1086)*100</f>
        <v>8.5500000000000007</v>
      </c>
      <c r="T1086" s="9" t="s">
        <v>637</v>
      </c>
      <c r="U1086" s="9"/>
      <c r="V1086" s="5"/>
      <c r="W1086" s="6" t="s">
        <v>2489</v>
      </c>
    </row>
    <row r="1087" spans="1:23" x14ac:dyDescent="0.15">
      <c r="A1087" s="2" t="s">
        <v>202</v>
      </c>
      <c r="B1087" s="2" t="s">
        <v>3936</v>
      </c>
      <c r="C1087" s="2" t="s">
        <v>931</v>
      </c>
      <c r="D1087" s="2" t="s">
        <v>414</v>
      </c>
      <c r="E1087" s="1" t="s">
        <v>933</v>
      </c>
      <c r="F1087" s="2" t="s">
        <v>374</v>
      </c>
      <c r="G1087" s="2" t="s">
        <v>374</v>
      </c>
      <c r="H1087" s="2" t="str">
        <f t="shared" si="42"/>
        <v>C</v>
      </c>
      <c r="I1087" s="5"/>
      <c r="J1087" s="5"/>
      <c r="K1087" s="5"/>
      <c r="L1087" s="7">
        <v>2.0499999999999998</v>
      </c>
      <c r="M1087" s="7" t="s">
        <v>571</v>
      </c>
      <c r="N1087" s="7">
        <v>46.5</v>
      </c>
      <c r="O1087" s="5">
        <v>24.3</v>
      </c>
      <c r="P1087" s="5">
        <v>17.161999999999999</v>
      </c>
      <c r="Q1087" s="2" t="s">
        <v>376</v>
      </c>
      <c r="R1087" s="5">
        <v>35.182000000000002</v>
      </c>
      <c r="S1087" s="5"/>
      <c r="V1087" s="5"/>
      <c r="W1087" s="6" t="s">
        <v>2484</v>
      </c>
    </row>
    <row r="1088" spans="1:23" x14ac:dyDescent="0.15">
      <c r="A1088" s="2" t="s">
        <v>202</v>
      </c>
      <c r="B1088" s="2" t="s">
        <v>3936</v>
      </c>
      <c r="C1088" s="2" t="s">
        <v>931</v>
      </c>
      <c r="D1088" s="2" t="s">
        <v>414</v>
      </c>
      <c r="E1088" s="1" t="s">
        <v>933</v>
      </c>
      <c r="F1088" s="2" t="s">
        <v>891</v>
      </c>
      <c r="G1088" s="2" t="s">
        <v>374</v>
      </c>
      <c r="H1088" s="2" t="str">
        <f t="shared" si="42"/>
        <v>C</v>
      </c>
      <c r="I1088" s="5">
        <v>14</v>
      </c>
      <c r="J1088" s="5">
        <v>600</v>
      </c>
      <c r="K1088" s="5"/>
      <c r="L1088" s="5">
        <v>1</v>
      </c>
      <c r="M1088" s="2" t="s">
        <v>571</v>
      </c>
      <c r="N1088" s="5">
        <v>50</v>
      </c>
      <c r="O1088" s="5">
        <v>20</v>
      </c>
      <c r="P1088" s="5">
        <v>10</v>
      </c>
      <c r="Q1088" s="2" t="s">
        <v>18</v>
      </c>
      <c r="R1088" s="5">
        <v>10</v>
      </c>
      <c r="S1088" s="5">
        <v>1.67</v>
      </c>
      <c r="T1088" s="2" t="s">
        <v>372</v>
      </c>
      <c r="U1088" s="40" t="s">
        <v>395</v>
      </c>
      <c r="V1088" s="5"/>
      <c r="W1088" s="6" t="s">
        <v>2485</v>
      </c>
    </row>
    <row r="1089" spans="1:23" x14ac:dyDescent="0.15">
      <c r="A1089" s="2" t="s">
        <v>202</v>
      </c>
      <c r="B1089" s="2" t="s">
        <v>3936</v>
      </c>
      <c r="C1089" s="2" t="s">
        <v>931</v>
      </c>
      <c r="D1089" s="2" t="s">
        <v>414</v>
      </c>
      <c r="E1089" s="1" t="s">
        <v>933</v>
      </c>
      <c r="F1089" s="2" t="s">
        <v>374</v>
      </c>
      <c r="G1089" s="2" t="s">
        <v>374</v>
      </c>
      <c r="H1089" s="2" t="str">
        <f t="shared" si="42"/>
        <v>C</v>
      </c>
      <c r="I1089" s="5"/>
      <c r="J1089" s="5"/>
      <c r="K1089" s="5"/>
      <c r="L1089" s="5">
        <v>3</v>
      </c>
      <c r="M1089" s="2" t="s">
        <v>571</v>
      </c>
      <c r="N1089" s="5"/>
      <c r="O1089" s="5"/>
      <c r="P1089" s="5"/>
      <c r="R1089" s="5"/>
      <c r="S1089" s="5"/>
      <c r="T1089" s="2">
        <v>3</v>
      </c>
      <c r="U1089" s="2" t="str">
        <f>IF(T1089&lt;=1, "1",IF(AND(T1089&gt;1,T1089&lt;4), "2-3", "+4"))</f>
        <v>2-3</v>
      </c>
      <c r="V1089" s="5"/>
      <c r="W1089" s="6" t="s">
        <v>2977</v>
      </c>
    </row>
    <row r="1090" spans="1:23" x14ac:dyDescent="0.15">
      <c r="A1090" s="2" t="s">
        <v>202</v>
      </c>
      <c r="B1090" s="2" t="s">
        <v>3936</v>
      </c>
      <c r="C1090" s="2" t="s">
        <v>931</v>
      </c>
      <c r="D1090" s="2" t="s">
        <v>414</v>
      </c>
      <c r="E1090" s="1" t="s">
        <v>933</v>
      </c>
      <c r="F1090" s="2" t="s">
        <v>216</v>
      </c>
      <c r="G1090" s="2" t="s">
        <v>374</v>
      </c>
      <c r="H1090" s="2" t="str">
        <f t="shared" si="42"/>
        <v>C</v>
      </c>
      <c r="I1090" s="5">
        <v>15</v>
      </c>
      <c r="J1090" s="5">
        <v>700</v>
      </c>
      <c r="K1090" s="7">
        <f>MEDIAN(4,6)</f>
        <v>5</v>
      </c>
      <c r="L1090" s="5">
        <v>2</v>
      </c>
      <c r="M1090" s="5" t="s">
        <v>571</v>
      </c>
      <c r="N1090" s="5"/>
      <c r="O1090" s="5"/>
      <c r="P1090" s="5"/>
      <c r="R1090" s="5"/>
      <c r="S1090" s="5"/>
      <c r="T1090" s="2" t="s">
        <v>382</v>
      </c>
      <c r="U1090" s="40" t="s">
        <v>395</v>
      </c>
      <c r="V1090" s="5"/>
      <c r="W1090" s="6" t="s">
        <v>2480</v>
      </c>
    </row>
    <row r="1091" spans="1:23" x14ac:dyDescent="0.15">
      <c r="A1091" s="2" t="s">
        <v>202</v>
      </c>
      <c r="B1091" s="2" t="s">
        <v>3936</v>
      </c>
      <c r="C1091" s="2" t="s">
        <v>931</v>
      </c>
      <c r="D1091" s="2" t="s">
        <v>414</v>
      </c>
      <c r="E1091" s="1" t="s">
        <v>933</v>
      </c>
      <c r="F1091" s="2" t="s">
        <v>374</v>
      </c>
      <c r="G1091" s="2" t="s">
        <v>374</v>
      </c>
      <c r="H1091" s="2" t="str">
        <f t="shared" si="42"/>
        <v>C</v>
      </c>
      <c r="I1091" s="5">
        <v>14.53</v>
      </c>
      <c r="J1091" s="5">
        <v>602</v>
      </c>
      <c r="K1091" s="5"/>
      <c r="L1091" s="5">
        <v>1.625</v>
      </c>
      <c r="M1091" s="2" t="s">
        <v>571</v>
      </c>
      <c r="N1091" s="5">
        <v>47.56</v>
      </c>
      <c r="O1091" s="5">
        <v>25.94</v>
      </c>
      <c r="P1091" s="5">
        <v>19.75</v>
      </c>
      <c r="Q1091" s="2" t="s">
        <v>18</v>
      </c>
      <c r="R1091" s="5">
        <v>32.090000000000003</v>
      </c>
      <c r="S1091" s="5">
        <v>5.33</v>
      </c>
      <c r="T1091" s="2" t="s">
        <v>410</v>
      </c>
      <c r="U1091" s="40" t="s">
        <v>395</v>
      </c>
      <c r="V1091" s="5"/>
      <c r="W1091" s="6" t="s">
        <v>2486</v>
      </c>
    </row>
    <row r="1092" spans="1:23" x14ac:dyDescent="0.15">
      <c r="A1092" s="2" t="s">
        <v>202</v>
      </c>
      <c r="B1092" s="2" t="s">
        <v>3936</v>
      </c>
      <c r="C1092" s="2" t="s">
        <v>931</v>
      </c>
      <c r="D1092" s="2" t="s">
        <v>414</v>
      </c>
      <c r="E1092" s="1" t="s">
        <v>933</v>
      </c>
      <c r="F1092" s="2" t="s">
        <v>374</v>
      </c>
      <c r="G1092" s="2">
        <v>25</v>
      </c>
      <c r="H1092" s="2" t="str">
        <f t="shared" si="42"/>
        <v>W</v>
      </c>
      <c r="I1092" s="5">
        <v>14.7</v>
      </c>
      <c r="J1092" s="5">
        <v>648</v>
      </c>
      <c r="K1092" s="5"/>
      <c r="L1092" s="5">
        <v>2</v>
      </c>
      <c r="M1092" s="2" t="s">
        <v>571</v>
      </c>
      <c r="N1092" s="5"/>
      <c r="O1092" s="5"/>
      <c r="P1092" s="5">
        <v>17.53</v>
      </c>
      <c r="Q1092" s="2" t="s">
        <v>18</v>
      </c>
      <c r="R1092" s="5">
        <v>27.6</v>
      </c>
      <c r="S1092" s="5">
        <f>(R1092/J1092)*100</f>
        <v>4.2592592592592595</v>
      </c>
      <c r="T1092" s="2" t="s">
        <v>122</v>
      </c>
      <c r="V1092" s="5"/>
      <c r="W1092" s="6" t="s">
        <v>2001</v>
      </c>
    </row>
    <row r="1093" spans="1:23" x14ac:dyDescent="0.15">
      <c r="A1093" s="2" t="s">
        <v>202</v>
      </c>
      <c r="B1093" s="2" t="s">
        <v>3936</v>
      </c>
      <c r="C1093" s="2" t="s">
        <v>931</v>
      </c>
      <c r="D1093" s="2" t="s">
        <v>729</v>
      </c>
      <c r="E1093" s="1"/>
      <c r="F1093" s="2" t="s">
        <v>374</v>
      </c>
      <c r="G1093" s="2" t="s">
        <v>374</v>
      </c>
      <c r="H1093" s="2" t="str">
        <f t="shared" si="42"/>
        <v>C</v>
      </c>
      <c r="I1093" s="5"/>
      <c r="J1093" s="5"/>
      <c r="K1093" s="7"/>
      <c r="L1093" s="7">
        <f>MEDIAN(1,4)</f>
        <v>2.5</v>
      </c>
      <c r="M1093" s="2" t="s">
        <v>571</v>
      </c>
      <c r="N1093" s="7"/>
      <c r="O1093" s="7"/>
      <c r="P1093" s="5">
        <v>23.26</v>
      </c>
      <c r="Q1093" s="2" t="s">
        <v>18</v>
      </c>
      <c r="R1093" s="5">
        <f>P1093*L1093</f>
        <v>58.150000000000006</v>
      </c>
      <c r="S1093" s="7"/>
      <c r="T1093" s="2" t="s">
        <v>410</v>
      </c>
      <c r="U1093" s="40" t="s">
        <v>395</v>
      </c>
      <c r="V1093" s="5"/>
      <c r="W1093" s="6" t="s">
        <v>2478</v>
      </c>
    </row>
    <row r="1094" spans="1:23" x14ac:dyDescent="0.15">
      <c r="A1094" s="2" t="s">
        <v>202</v>
      </c>
      <c r="B1094" s="2" t="s">
        <v>3936</v>
      </c>
      <c r="C1094" s="2" t="s">
        <v>931</v>
      </c>
      <c r="D1094" s="2" t="s">
        <v>729</v>
      </c>
      <c r="E1094" s="1"/>
      <c r="F1094" s="2" t="s">
        <v>374</v>
      </c>
      <c r="G1094" s="2" t="s">
        <v>374</v>
      </c>
      <c r="H1094" s="2" t="str">
        <f t="shared" si="42"/>
        <v>C</v>
      </c>
      <c r="I1094" s="5">
        <v>18.100000000000001</v>
      </c>
      <c r="J1094" s="5">
        <v>926</v>
      </c>
      <c r="K1094" s="7">
        <f>MEDIAN(10,15)</f>
        <v>12.5</v>
      </c>
      <c r="L1094" s="7">
        <v>1.5</v>
      </c>
      <c r="M1094" s="2" t="s">
        <v>571</v>
      </c>
      <c r="N1094" s="7">
        <v>55.33</v>
      </c>
      <c r="O1094" s="7">
        <v>25.48</v>
      </c>
      <c r="P1094" s="5">
        <v>28.43</v>
      </c>
      <c r="Q1094" s="2" t="s">
        <v>18</v>
      </c>
      <c r="R1094" s="5">
        <v>42.65</v>
      </c>
      <c r="S1094" s="7">
        <v>4.6100000000000003</v>
      </c>
      <c r="T1094" s="2" t="s">
        <v>399</v>
      </c>
      <c r="V1094" s="5"/>
      <c r="W1094" s="6" t="s">
        <v>2499</v>
      </c>
    </row>
    <row r="1095" spans="1:23" x14ac:dyDescent="0.15">
      <c r="A1095" s="2" t="s">
        <v>202</v>
      </c>
      <c r="B1095" s="2" t="s">
        <v>3936</v>
      </c>
      <c r="C1095" s="2" t="s">
        <v>931</v>
      </c>
      <c r="D1095" s="2" t="s">
        <v>729</v>
      </c>
      <c r="E1095" s="1"/>
      <c r="F1095" s="2" t="s">
        <v>891</v>
      </c>
      <c r="G1095" s="2" t="s">
        <v>891</v>
      </c>
      <c r="H1095" s="2" t="str">
        <f t="shared" si="42"/>
        <v>W</v>
      </c>
      <c r="I1095" s="5">
        <v>17.71</v>
      </c>
      <c r="J1095" s="5">
        <v>760</v>
      </c>
      <c r="K1095" s="5"/>
      <c r="L1095" s="5">
        <v>1.91</v>
      </c>
      <c r="M1095" s="2" t="s">
        <v>571</v>
      </c>
      <c r="N1095" s="5">
        <v>59.4</v>
      </c>
      <c r="O1095" s="5">
        <v>27.9</v>
      </c>
      <c r="P1095" s="5">
        <v>26.3</v>
      </c>
      <c r="Q1095" s="2" t="s">
        <v>18</v>
      </c>
      <c r="R1095" s="5">
        <v>50.23</v>
      </c>
      <c r="S1095" s="5">
        <v>8.3699999999999992</v>
      </c>
      <c r="T1095" s="2">
        <v>1</v>
      </c>
      <c r="U1095" s="2" t="str">
        <f>IF(T1095&lt;=1, "1",IF(AND(T1095&gt;1,T1095&lt;4), "2-3", "+4"))</f>
        <v>1</v>
      </c>
      <c r="V1095" s="5">
        <f>S1095*T1095</f>
        <v>8.3699999999999992</v>
      </c>
      <c r="W1095" s="6" t="s">
        <v>2495</v>
      </c>
    </row>
    <row r="1096" spans="1:23" x14ac:dyDescent="0.15">
      <c r="A1096" s="2" t="s">
        <v>202</v>
      </c>
      <c r="B1096" s="2" t="s">
        <v>3936</v>
      </c>
      <c r="C1096" s="2" t="s">
        <v>931</v>
      </c>
      <c r="D1096" s="2" t="s">
        <v>729</v>
      </c>
      <c r="E1096" s="1"/>
      <c r="F1096" s="2" t="s">
        <v>891</v>
      </c>
      <c r="G1096" s="2" t="s">
        <v>374</v>
      </c>
      <c r="H1096" s="2" t="str">
        <f t="shared" si="42"/>
        <v>C</v>
      </c>
      <c r="I1096" s="5">
        <v>17.71</v>
      </c>
      <c r="J1096" s="5">
        <v>760</v>
      </c>
      <c r="K1096" s="5"/>
      <c r="L1096" s="5">
        <v>1.63</v>
      </c>
      <c r="M1096" s="2" t="s">
        <v>571</v>
      </c>
      <c r="N1096" s="5">
        <v>59</v>
      </c>
      <c r="O1096" s="5">
        <v>28</v>
      </c>
      <c r="P1096" s="5">
        <v>26.3</v>
      </c>
      <c r="Q1096" s="2" t="s">
        <v>18</v>
      </c>
      <c r="R1096" s="5">
        <v>27.6</v>
      </c>
      <c r="S1096" s="5">
        <f>(R1096/J1096)*100</f>
        <v>3.6315789473684212</v>
      </c>
      <c r="T1096" s="2">
        <v>2</v>
      </c>
      <c r="U1096" s="2" t="str">
        <f>IF(T1096&lt;=1, "1",IF(AND(T1096&gt;1,T1096&lt;4), "2-3", "+4"))</f>
        <v>2-3</v>
      </c>
      <c r="V1096" s="5">
        <f>S1096*T1096</f>
        <v>7.2631578947368425</v>
      </c>
      <c r="W1096" s="6" t="s">
        <v>3565</v>
      </c>
    </row>
    <row r="1097" spans="1:23" x14ac:dyDescent="0.15">
      <c r="A1097" s="2" t="s">
        <v>202</v>
      </c>
      <c r="B1097" s="2" t="s">
        <v>3936</v>
      </c>
      <c r="C1097" s="2" t="s">
        <v>931</v>
      </c>
      <c r="D1097" s="2" t="s">
        <v>729</v>
      </c>
      <c r="E1097" s="1"/>
      <c r="F1097" s="2" t="s">
        <v>374</v>
      </c>
      <c r="G1097" s="2" t="s">
        <v>374</v>
      </c>
      <c r="H1097" s="2" t="str">
        <f t="shared" si="42"/>
        <v>C</v>
      </c>
      <c r="I1097" s="5"/>
      <c r="J1097" s="5"/>
      <c r="K1097" s="5"/>
      <c r="L1097" s="7">
        <f>MEDIAN(1,2)</f>
        <v>1.5</v>
      </c>
      <c r="M1097" s="2" t="s">
        <v>571</v>
      </c>
      <c r="N1097" s="5">
        <v>56.9</v>
      </c>
      <c r="O1097" s="5">
        <v>27.6</v>
      </c>
      <c r="P1097" s="5">
        <v>25.2</v>
      </c>
      <c r="Q1097" s="2" t="s">
        <v>18</v>
      </c>
      <c r="R1097" s="5">
        <f>P1097*L1097</f>
        <v>37.799999999999997</v>
      </c>
      <c r="S1097" s="5"/>
      <c r="V1097" s="5"/>
      <c r="W1097" s="6" t="s">
        <v>3002</v>
      </c>
    </row>
    <row r="1098" spans="1:23" x14ac:dyDescent="0.15">
      <c r="A1098" s="2" t="s">
        <v>202</v>
      </c>
      <c r="B1098" s="2" t="s">
        <v>3936</v>
      </c>
      <c r="C1098" s="2" t="s">
        <v>931</v>
      </c>
      <c r="D1098" s="2" t="s">
        <v>729</v>
      </c>
      <c r="E1098" s="1"/>
      <c r="F1098" s="2" t="s">
        <v>374</v>
      </c>
      <c r="G1098" s="2" t="s">
        <v>374</v>
      </c>
      <c r="H1098" s="2" t="str">
        <f t="shared" si="42"/>
        <v>C</v>
      </c>
      <c r="I1098" s="5"/>
      <c r="J1098" s="5"/>
      <c r="K1098" s="5"/>
      <c r="L1098" s="7">
        <v>3</v>
      </c>
      <c r="M1098" s="2" t="s">
        <v>571</v>
      </c>
      <c r="N1098" s="5">
        <v>54.6</v>
      </c>
      <c r="O1098" s="5">
        <v>26</v>
      </c>
      <c r="P1098" s="5">
        <f xml:space="preserve"> 0.664*N1098 + 0.139*O1098 - 15.217</f>
        <v>24.651400000000002</v>
      </c>
      <c r="Q1098" s="2" t="s">
        <v>376</v>
      </c>
      <c r="R1098" s="5">
        <v>73.95</v>
      </c>
      <c r="S1098" s="5"/>
      <c r="V1098" s="5"/>
      <c r="W1098" s="6" t="s">
        <v>3003</v>
      </c>
    </row>
    <row r="1099" spans="1:23" x14ac:dyDescent="0.15">
      <c r="A1099" s="2" t="s">
        <v>202</v>
      </c>
      <c r="B1099" s="2" t="s">
        <v>3936</v>
      </c>
      <c r="C1099" s="2" t="s">
        <v>931</v>
      </c>
      <c r="D1099" s="2" t="s">
        <v>729</v>
      </c>
      <c r="E1099" s="1"/>
      <c r="F1099" s="2" t="s">
        <v>891</v>
      </c>
      <c r="G1099" s="2" t="s">
        <v>374</v>
      </c>
      <c r="H1099" s="2" t="str">
        <f t="shared" si="42"/>
        <v>C</v>
      </c>
      <c r="I1099" s="5">
        <v>20</v>
      </c>
      <c r="J1099" s="5">
        <v>1600</v>
      </c>
      <c r="K1099" s="5"/>
      <c r="L1099" s="5">
        <v>2.5</v>
      </c>
      <c r="M1099" s="2" t="s">
        <v>571</v>
      </c>
      <c r="N1099" s="5"/>
      <c r="O1099" s="5"/>
      <c r="P1099" s="5"/>
      <c r="R1099" s="5"/>
      <c r="S1099" s="5"/>
      <c r="T1099" s="2">
        <v>1</v>
      </c>
      <c r="U1099" s="2" t="str">
        <f>IF(T1099&lt;=1, "1",IF(AND(T1099&gt;1,T1099&lt;4), "2-3", "+4"))</f>
        <v>1</v>
      </c>
      <c r="V1099" s="5"/>
      <c r="W1099" s="6" t="s">
        <v>2496</v>
      </c>
    </row>
    <row r="1100" spans="1:23" x14ac:dyDescent="0.15">
      <c r="A1100" s="2" t="s">
        <v>202</v>
      </c>
      <c r="B1100" s="2" t="s">
        <v>3936</v>
      </c>
      <c r="C1100" s="2" t="s">
        <v>931</v>
      </c>
      <c r="D1100" s="2" t="s">
        <v>729</v>
      </c>
      <c r="E1100" s="1"/>
      <c r="F1100" s="2" t="s">
        <v>374</v>
      </c>
      <c r="G1100" s="2" t="s">
        <v>374</v>
      </c>
      <c r="H1100" s="2" t="str">
        <f t="shared" si="42"/>
        <v>C</v>
      </c>
      <c r="I1100" s="5">
        <v>21</v>
      </c>
      <c r="J1100" s="5">
        <v>1600</v>
      </c>
      <c r="K1100" s="5"/>
      <c r="L1100" s="5">
        <v>1</v>
      </c>
      <c r="M1100" s="2" t="s">
        <v>571</v>
      </c>
      <c r="N1100" s="5">
        <v>51</v>
      </c>
      <c r="O1100" s="5">
        <v>28.5</v>
      </c>
      <c r="P1100" s="5">
        <v>24.5</v>
      </c>
      <c r="Q1100" s="2" t="s">
        <v>18</v>
      </c>
      <c r="R1100" s="5">
        <v>24.5</v>
      </c>
      <c r="S1100" s="5">
        <v>1.53</v>
      </c>
      <c r="V1100" s="5"/>
      <c r="W1100" s="6" t="s">
        <v>2497</v>
      </c>
    </row>
    <row r="1101" spans="1:23" x14ac:dyDescent="0.15">
      <c r="A1101" s="2" t="s">
        <v>202</v>
      </c>
      <c r="B1101" s="2" t="s">
        <v>3936</v>
      </c>
      <c r="C1101" s="2" t="s">
        <v>931</v>
      </c>
      <c r="D1101" s="2" t="s">
        <v>729</v>
      </c>
      <c r="E1101" s="1"/>
      <c r="F1101" s="2" t="s">
        <v>374</v>
      </c>
      <c r="G1101" s="2" t="s">
        <v>374</v>
      </c>
      <c r="H1101" s="2" t="str">
        <f t="shared" si="42"/>
        <v>C</v>
      </c>
      <c r="I1101" s="5"/>
      <c r="J1101" s="5"/>
      <c r="K1101" s="5"/>
      <c r="L1101" s="5">
        <v>3</v>
      </c>
      <c r="M1101" s="2" t="s">
        <v>571</v>
      </c>
      <c r="N1101" s="5"/>
      <c r="O1101" s="5"/>
      <c r="P1101" s="5"/>
      <c r="R1101" s="5"/>
      <c r="S1101" s="5"/>
      <c r="T1101" s="7">
        <f>MEDIAN(1,2)</f>
        <v>1.5</v>
      </c>
      <c r="U1101" s="2" t="str">
        <f>IF(T1101&lt;=1, "1",IF(AND(T1101&gt;1,T1101&lt;4), "2-3", "+4"))</f>
        <v>2-3</v>
      </c>
      <c r="V1101" s="5"/>
      <c r="W1101" s="6" t="s">
        <v>2498</v>
      </c>
    </row>
    <row r="1102" spans="1:23" x14ac:dyDescent="0.15">
      <c r="A1102" s="2" t="s">
        <v>202</v>
      </c>
      <c r="B1102" s="2" t="s">
        <v>3936</v>
      </c>
      <c r="C1102" s="2" t="s">
        <v>931</v>
      </c>
      <c r="D1102" s="2" t="s">
        <v>729</v>
      </c>
      <c r="E1102" s="1"/>
      <c r="F1102" s="2" t="s">
        <v>2432</v>
      </c>
      <c r="G1102" s="2" t="s">
        <v>374</v>
      </c>
      <c r="H1102" s="2" t="str">
        <f t="shared" si="42"/>
        <v>C</v>
      </c>
      <c r="I1102" s="5">
        <v>15.98</v>
      </c>
      <c r="J1102" s="5">
        <v>794.4</v>
      </c>
      <c r="K1102" s="5"/>
      <c r="L1102" s="5"/>
      <c r="M1102" s="2" t="s">
        <v>571</v>
      </c>
      <c r="N1102" s="5"/>
      <c r="O1102" s="5"/>
      <c r="P1102" s="5"/>
      <c r="R1102" s="5"/>
      <c r="S1102" s="5"/>
      <c r="V1102" s="5"/>
      <c r="W1102" s="6" t="s">
        <v>2479</v>
      </c>
    </row>
    <row r="1103" spans="1:23" x14ac:dyDescent="0.15">
      <c r="A1103" s="2" t="s">
        <v>202</v>
      </c>
      <c r="B1103" s="2" t="s">
        <v>3936</v>
      </c>
      <c r="C1103" s="2" t="s">
        <v>931</v>
      </c>
      <c r="D1103" s="2" t="s">
        <v>583</v>
      </c>
      <c r="E1103" s="1"/>
      <c r="F1103" s="2" t="s">
        <v>374</v>
      </c>
      <c r="G1103" s="2" t="s">
        <v>891</v>
      </c>
      <c r="H1103" s="2" t="str">
        <f t="shared" si="42"/>
        <v>W</v>
      </c>
      <c r="I1103" s="5">
        <v>15.55</v>
      </c>
      <c r="J1103" s="5">
        <v>474.5</v>
      </c>
      <c r="K1103" s="5"/>
      <c r="L1103" s="5">
        <v>2.9</v>
      </c>
      <c r="M1103" s="2" t="s">
        <v>571</v>
      </c>
      <c r="N1103" s="5"/>
      <c r="O1103" s="5"/>
      <c r="P1103" s="5"/>
      <c r="R1103" s="5"/>
      <c r="S1103" s="5"/>
      <c r="T1103" s="2" t="s">
        <v>382</v>
      </c>
      <c r="U1103" s="40" t="s">
        <v>395</v>
      </c>
      <c r="V1103" s="5"/>
      <c r="W1103" s="6" t="s">
        <v>2522</v>
      </c>
    </row>
    <row r="1104" spans="1:23" x14ac:dyDescent="0.15">
      <c r="A1104" s="2" t="s">
        <v>202</v>
      </c>
      <c r="B1104" s="2" t="s">
        <v>3936</v>
      </c>
      <c r="C1104" s="2" t="s">
        <v>931</v>
      </c>
      <c r="D1104" s="2" t="s">
        <v>583</v>
      </c>
      <c r="E1104" s="1"/>
      <c r="F1104" s="2" t="s">
        <v>374</v>
      </c>
      <c r="G1104" s="2" t="s">
        <v>374</v>
      </c>
      <c r="H1104" s="2" t="str">
        <f t="shared" si="42"/>
        <v>C</v>
      </c>
      <c r="I1104" s="5">
        <v>15.58</v>
      </c>
      <c r="J1104" s="5">
        <v>474.5</v>
      </c>
      <c r="K1104" s="5"/>
      <c r="L1104" s="7">
        <v>2.97</v>
      </c>
      <c r="M1104" s="7" t="s">
        <v>571</v>
      </c>
      <c r="N1104" s="7"/>
      <c r="O1104" s="5"/>
      <c r="P1104" s="5"/>
      <c r="R1104" s="5"/>
      <c r="S1104" s="5"/>
      <c r="T1104" s="2">
        <v>3</v>
      </c>
      <c r="U1104" s="2" t="str">
        <f>IF(T1104&lt;=1, "1",IF(AND(T1104&gt;1,T1104&lt;4), "2-3", "+4"))</f>
        <v>2-3</v>
      </c>
      <c r="V1104" s="5"/>
      <c r="W1104" s="6" t="s">
        <v>2208</v>
      </c>
    </row>
    <row r="1105" spans="1:23" x14ac:dyDescent="0.15">
      <c r="A1105" s="2" t="s">
        <v>202</v>
      </c>
      <c r="B1105" s="2" t="s">
        <v>3936</v>
      </c>
      <c r="C1105" s="2" t="s">
        <v>931</v>
      </c>
      <c r="D1105" s="2" t="s">
        <v>583</v>
      </c>
      <c r="E1105" s="1"/>
      <c r="F1105" s="2" t="s">
        <v>374</v>
      </c>
      <c r="G1105" s="2" t="s">
        <v>374</v>
      </c>
      <c r="H1105" s="2" t="str">
        <f t="shared" si="42"/>
        <v>C</v>
      </c>
      <c r="I1105" s="5"/>
      <c r="J1105" s="5"/>
      <c r="K1105" s="5"/>
      <c r="L1105" s="5"/>
      <c r="M1105" s="2" t="s">
        <v>571</v>
      </c>
      <c r="N1105" s="5">
        <v>42</v>
      </c>
      <c r="O1105" s="5">
        <v>22.5</v>
      </c>
      <c r="P1105" s="5">
        <v>13.26</v>
      </c>
      <c r="Q1105" s="2" t="s">
        <v>376</v>
      </c>
      <c r="R1105" s="5"/>
      <c r="S1105" s="5"/>
      <c r="V1105" s="5"/>
      <c r="W1105" s="6" t="s">
        <v>2523</v>
      </c>
    </row>
    <row r="1106" spans="1:23" x14ac:dyDescent="0.15">
      <c r="A1106" s="2" t="s">
        <v>202</v>
      </c>
      <c r="B1106" s="2" t="s">
        <v>3936</v>
      </c>
      <c r="C1106" s="2" t="s">
        <v>931</v>
      </c>
      <c r="D1106" s="2" t="s">
        <v>583</v>
      </c>
      <c r="E1106" s="1"/>
      <c r="F1106" s="2" t="s">
        <v>374</v>
      </c>
      <c r="G1106" s="2" t="s">
        <v>374</v>
      </c>
      <c r="H1106" s="2" t="str">
        <f t="shared" si="42"/>
        <v>C</v>
      </c>
      <c r="I1106" s="5"/>
      <c r="J1106" s="5"/>
      <c r="K1106" s="5"/>
      <c r="L1106" s="7">
        <f>MEDIAN(1,3)</f>
        <v>2</v>
      </c>
      <c r="M1106" s="2" t="s">
        <v>571</v>
      </c>
      <c r="N1106" s="5">
        <v>46.5</v>
      </c>
      <c r="O1106" s="5">
        <v>23.5</v>
      </c>
      <c r="P1106" s="5">
        <v>15.835000000000001</v>
      </c>
      <c r="Q1106" s="2" t="s">
        <v>376</v>
      </c>
      <c r="R1106" s="5">
        <f>P1106*L1106</f>
        <v>31.67</v>
      </c>
      <c r="S1106" s="5"/>
      <c r="T1106" s="2">
        <v>1</v>
      </c>
      <c r="U1106" s="2" t="str">
        <f>IF(T1106&lt;=1, "1",IF(AND(T1106&gt;1,T1106&lt;4), "2-3", "+4"))</f>
        <v>1</v>
      </c>
      <c r="V1106" s="5"/>
      <c r="W1106" s="6" t="s">
        <v>2487</v>
      </c>
    </row>
    <row r="1107" spans="1:23" x14ac:dyDescent="0.15">
      <c r="A1107" s="2" t="s">
        <v>202</v>
      </c>
      <c r="B1107" s="2" t="s">
        <v>3936</v>
      </c>
      <c r="C1107" s="2" t="s">
        <v>931</v>
      </c>
      <c r="D1107" s="2" t="s">
        <v>583</v>
      </c>
      <c r="E1107" s="1"/>
      <c r="F1107" s="2" t="s">
        <v>374</v>
      </c>
      <c r="G1107" s="2" t="s">
        <v>374</v>
      </c>
      <c r="H1107" s="2" t="str">
        <f t="shared" si="42"/>
        <v>C</v>
      </c>
      <c r="I1107" s="5"/>
      <c r="J1107" s="5"/>
      <c r="K1107" s="5"/>
      <c r="L1107" s="7">
        <f>MEDIAN(1,3)</f>
        <v>2</v>
      </c>
      <c r="M1107" s="2" t="s">
        <v>571</v>
      </c>
      <c r="N1107" s="5"/>
      <c r="O1107" s="5"/>
      <c r="P1107" s="5"/>
      <c r="R1107" s="5"/>
      <c r="S1107" s="5"/>
      <c r="V1107" s="5"/>
      <c r="W1107" s="6" t="s">
        <v>2501</v>
      </c>
    </row>
    <row r="1108" spans="1:23" x14ac:dyDescent="0.15">
      <c r="A1108" s="2" t="s">
        <v>202</v>
      </c>
      <c r="B1108" s="2" t="s">
        <v>3936</v>
      </c>
      <c r="C1108" s="2" t="s">
        <v>931</v>
      </c>
      <c r="D1108" s="2" t="s">
        <v>583</v>
      </c>
      <c r="E1108" s="1"/>
      <c r="F1108" s="2" t="s">
        <v>374</v>
      </c>
      <c r="G1108" s="2">
        <v>24</v>
      </c>
      <c r="H1108" s="2" t="str">
        <f t="shared" si="42"/>
        <v>W</v>
      </c>
      <c r="I1108" s="5">
        <v>13.71</v>
      </c>
      <c r="J1108" s="5">
        <f xml:space="preserve"> 3.12176*(I1108^2.0494)</f>
        <v>667.79639680193668</v>
      </c>
      <c r="K1108" s="5"/>
      <c r="L1108" s="5">
        <v>1.5</v>
      </c>
      <c r="M1108" s="2" t="s">
        <v>571</v>
      </c>
      <c r="N1108" s="5">
        <v>48.22</v>
      </c>
      <c r="O1108" s="5">
        <v>20.87</v>
      </c>
      <c r="P1108" s="5">
        <v>14.14</v>
      </c>
      <c r="Q1108" s="2" t="s">
        <v>376</v>
      </c>
      <c r="R1108" s="5">
        <f>P1108*L1108</f>
        <v>21.21</v>
      </c>
      <c r="S1108" s="5">
        <f>(R1108/J1108)*100</f>
        <v>3.1761177660697566</v>
      </c>
      <c r="V1108" s="5"/>
      <c r="W1108" s="6" t="s">
        <v>3346</v>
      </c>
    </row>
    <row r="1109" spans="1:23" x14ac:dyDescent="0.15">
      <c r="A1109" s="2" t="s">
        <v>202</v>
      </c>
      <c r="B1109" s="2" t="s">
        <v>3936</v>
      </c>
      <c r="C1109" s="2" t="s">
        <v>931</v>
      </c>
      <c r="D1109" s="2" t="s">
        <v>583</v>
      </c>
      <c r="E1109" s="1"/>
      <c r="F1109" s="2" t="s">
        <v>374</v>
      </c>
      <c r="G1109" s="2" t="s">
        <v>374</v>
      </c>
      <c r="H1109" s="2" t="str">
        <f t="shared" si="42"/>
        <v>C</v>
      </c>
      <c r="I1109" s="5"/>
      <c r="J1109" s="5"/>
      <c r="K1109" s="5"/>
      <c r="L1109" s="7">
        <f>MEDIAN(2,3)</f>
        <v>2.5</v>
      </c>
      <c r="M1109" s="2" t="s">
        <v>571</v>
      </c>
      <c r="N1109" s="5">
        <v>39.5</v>
      </c>
      <c r="O1109" s="5">
        <v>23.75</v>
      </c>
      <c r="P1109" s="5">
        <f xml:space="preserve"> 0.374*N1109 + 0.888*O1109 - 22.424</f>
        <v>13.439</v>
      </c>
      <c r="Q1109" s="2" t="s">
        <v>376</v>
      </c>
      <c r="R1109" s="5">
        <f>P1109*L1109</f>
        <v>33.597499999999997</v>
      </c>
      <c r="S1109" s="5"/>
      <c r="V1109" s="5"/>
      <c r="W1109" s="6" t="s">
        <v>3004</v>
      </c>
    </row>
    <row r="1110" spans="1:23" x14ac:dyDescent="0.15">
      <c r="A1110" s="2" t="s">
        <v>202</v>
      </c>
      <c r="B1110" s="2" t="s">
        <v>3936</v>
      </c>
      <c r="C1110" s="2" t="s">
        <v>931</v>
      </c>
      <c r="D1110" s="2" t="s">
        <v>583</v>
      </c>
      <c r="E1110" s="1"/>
      <c r="F1110" s="2" t="s">
        <v>374</v>
      </c>
      <c r="G1110" s="2" t="s">
        <v>891</v>
      </c>
      <c r="H1110" s="2" t="str">
        <f t="shared" si="42"/>
        <v>W</v>
      </c>
      <c r="I1110" s="5">
        <v>14.3</v>
      </c>
      <c r="J1110" s="5">
        <v>529</v>
      </c>
      <c r="K1110" s="5"/>
      <c r="L1110" s="5">
        <v>1.44</v>
      </c>
      <c r="M1110" s="2" t="s">
        <v>571</v>
      </c>
      <c r="N1110" s="5"/>
      <c r="O1110" s="5"/>
      <c r="P1110" s="5"/>
      <c r="R1110" s="5"/>
      <c r="S1110" s="5"/>
      <c r="T1110" s="2">
        <v>3</v>
      </c>
      <c r="U1110" s="2" t="str">
        <f>IF(T1110&lt;=1, "1",IF(AND(T1110&gt;1,T1110&lt;4), "2-3", "+4"))</f>
        <v>2-3</v>
      </c>
      <c r="V1110" s="5"/>
      <c r="W1110" s="6" t="s">
        <v>2500</v>
      </c>
    </row>
    <row r="1111" spans="1:23" x14ac:dyDescent="0.15">
      <c r="A1111" s="2" t="s">
        <v>202</v>
      </c>
      <c r="B1111" s="2" t="s">
        <v>3936</v>
      </c>
      <c r="C1111" s="2" t="s">
        <v>931</v>
      </c>
      <c r="D1111" s="2" t="s">
        <v>730</v>
      </c>
      <c r="E1111" s="1" t="s">
        <v>3729</v>
      </c>
      <c r="F1111" s="2" t="s">
        <v>374</v>
      </c>
      <c r="G1111" s="2" t="s">
        <v>374</v>
      </c>
      <c r="H1111" s="2" t="str">
        <f t="shared" si="42"/>
        <v>C</v>
      </c>
      <c r="I1111" s="5"/>
      <c r="J1111" s="5"/>
      <c r="K1111" s="5"/>
      <c r="L1111" s="5">
        <v>4.5</v>
      </c>
      <c r="M1111" s="2" t="s">
        <v>571</v>
      </c>
      <c r="N1111" s="5"/>
      <c r="O1111" s="5"/>
      <c r="P1111" s="5"/>
      <c r="R1111" s="5"/>
      <c r="S1111" s="5"/>
      <c r="T1111" s="2">
        <v>1</v>
      </c>
      <c r="U1111" s="2" t="str">
        <f>IF(T1111&lt;=1, "1",IF(AND(T1111&gt;1,T1111&lt;4), "2-3", "+4"))</f>
        <v>1</v>
      </c>
      <c r="V1111" s="5"/>
      <c r="W1111" s="6" t="s">
        <v>2844</v>
      </c>
    </row>
    <row r="1112" spans="1:23" x14ac:dyDescent="0.15">
      <c r="A1112" s="2" t="s">
        <v>202</v>
      </c>
      <c r="B1112" s="2" t="s">
        <v>3936</v>
      </c>
      <c r="C1112" s="2" t="s">
        <v>931</v>
      </c>
      <c r="D1112" s="2" t="s">
        <v>730</v>
      </c>
      <c r="E1112" s="1" t="s">
        <v>3729</v>
      </c>
      <c r="F1112" s="2" t="s">
        <v>374</v>
      </c>
      <c r="G1112" s="2" t="s">
        <v>374</v>
      </c>
      <c r="H1112" s="2" t="str">
        <f t="shared" si="42"/>
        <v>C</v>
      </c>
      <c r="I1112" s="5"/>
      <c r="J1112" s="5"/>
      <c r="K1112" s="5"/>
      <c r="L1112" s="7"/>
      <c r="M1112" s="2" t="s">
        <v>571</v>
      </c>
      <c r="N1112" s="5">
        <f>MEDIAN(39,46.3)</f>
        <v>42.65</v>
      </c>
      <c r="O1112" s="5">
        <f>MEDIAN(24.4,26.9)</f>
        <v>25.65</v>
      </c>
      <c r="P1112" s="5">
        <f>MEDIAN(15.6,17.2)</f>
        <v>16.399999999999999</v>
      </c>
      <c r="Q1112" s="2" t="s">
        <v>18</v>
      </c>
      <c r="R1112" s="5"/>
      <c r="S1112" s="5"/>
      <c r="T1112" s="2">
        <v>1</v>
      </c>
      <c r="U1112" s="2" t="str">
        <f>IF(T1112&lt;=1, "1",IF(AND(T1112&gt;1,T1112&lt;4), "2-3", "+4"))</f>
        <v>1</v>
      </c>
      <c r="V1112" s="5"/>
      <c r="W1112" s="6" t="s">
        <v>2953</v>
      </c>
    </row>
    <row r="1113" spans="1:23" x14ac:dyDescent="0.15">
      <c r="A1113" s="2" t="s">
        <v>202</v>
      </c>
      <c r="B1113" s="2" t="s">
        <v>3936</v>
      </c>
      <c r="C1113" s="2" t="s">
        <v>931</v>
      </c>
      <c r="D1113" s="2" t="s">
        <v>730</v>
      </c>
      <c r="E1113" s="1" t="s">
        <v>3729</v>
      </c>
      <c r="F1113" s="2" t="s">
        <v>374</v>
      </c>
      <c r="G1113" s="2" t="s">
        <v>374</v>
      </c>
      <c r="H1113" s="2" t="str">
        <f t="shared" si="42"/>
        <v>C</v>
      </c>
      <c r="I1113" s="5">
        <v>16</v>
      </c>
      <c r="J1113" s="5">
        <v>575</v>
      </c>
      <c r="K1113" s="5"/>
      <c r="L1113" s="5">
        <v>3</v>
      </c>
      <c r="M1113" s="2" t="s">
        <v>571</v>
      </c>
      <c r="N1113" s="5">
        <v>45</v>
      </c>
      <c r="O1113" s="5">
        <v>26</v>
      </c>
      <c r="P1113" s="5">
        <v>15.76</v>
      </c>
      <c r="Q1113" s="2" t="s">
        <v>376</v>
      </c>
      <c r="R1113" s="5">
        <v>47.27</v>
      </c>
      <c r="S1113" s="5">
        <v>8.2200000000000006</v>
      </c>
      <c r="T1113" s="2">
        <v>1</v>
      </c>
      <c r="U1113" s="2" t="str">
        <f>IF(T1113&lt;=1, "1",IF(AND(T1113&gt;1,T1113&lt;4), "2-3", "+4"))</f>
        <v>1</v>
      </c>
      <c r="V1113" s="5">
        <f>S1113*T1113</f>
        <v>8.2200000000000006</v>
      </c>
      <c r="W1113" s="6" t="s">
        <v>2843</v>
      </c>
    </row>
    <row r="1114" spans="1:23" x14ac:dyDescent="0.15">
      <c r="A1114" s="2" t="s">
        <v>202</v>
      </c>
      <c r="B1114" s="2" t="s">
        <v>3936</v>
      </c>
      <c r="C1114" s="2" t="s">
        <v>931</v>
      </c>
      <c r="D1114" s="2" t="s">
        <v>730</v>
      </c>
      <c r="E1114" s="1" t="s">
        <v>3729</v>
      </c>
      <c r="F1114" s="2" t="s">
        <v>374</v>
      </c>
      <c r="G1114" s="2">
        <v>22</v>
      </c>
      <c r="H1114" s="2" t="str">
        <f t="shared" si="42"/>
        <v>W</v>
      </c>
      <c r="I1114" s="5">
        <v>16</v>
      </c>
      <c r="J1114" s="5">
        <v>575</v>
      </c>
      <c r="K1114" s="5"/>
      <c r="L1114" s="5">
        <v>3</v>
      </c>
      <c r="M1114" s="2" t="s">
        <v>571</v>
      </c>
      <c r="N1114" s="5"/>
      <c r="O1114" s="5"/>
      <c r="P1114" s="5">
        <v>15.6</v>
      </c>
      <c r="Q1114" s="2" t="s">
        <v>376</v>
      </c>
      <c r="R1114" s="5">
        <f>L1114*P1114</f>
        <v>46.8</v>
      </c>
      <c r="S1114" s="5">
        <f>(R1114/J1114)*100</f>
        <v>8.1391304347826079</v>
      </c>
      <c r="V1114" s="5"/>
      <c r="W1114" s="6" t="s">
        <v>2000</v>
      </c>
    </row>
    <row r="1115" spans="1:23" x14ac:dyDescent="0.15">
      <c r="A1115" s="2" t="s">
        <v>202</v>
      </c>
      <c r="B1115" s="2" t="s">
        <v>3936</v>
      </c>
      <c r="C1115" s="2" t="s">
        <v>931</v>
      </c>
      <c r="D1115" s="2" t="s">
        <v>730</v>
      </c>
      <c r="E1115" s="1" t="s">
        <v>3729</v>
      </c>
      <c r="F1115" s="2" t="s">
        <v>374</v>
      </c>
      <c r="G1115" s="2" t="s">
        <v>374</v>
      </c>
      <c r="H1115" s="2" t="str">
        <f t="shared" si="42"/>
        <v>C</v>
      </c>
      <c r="I1115" s="5">
        <v>16.73</v>
      </c>
      <c r="J1115" s="5">
        <v>885.5</v>
      </c>
      <c r="K1115" s="5"/>
      <c r="L1115" s="5">
        <v>5.8</v>
      </c>
      <c r="M1115" s="2" t="s">
        <v>571</v>
      </c>
      <c r="N1115" s="5">
        <v>37.590000000000003</v>
      </c>
      <c r="O1115" s="5">
        <v>24.26</v>
      </c>
      <c r="P1115" s="5">
        <v>13.5</v>
      </c>
      <c r="Q1115" s="2" t="s">
        <v>18</v>
      </c>
      <c r="R1115" s="5">
        <v>78.3</v>
      </c>
      <c r="S1115" s="5">
        <v>8.84</v>
      </c>
      <c r="T1115" s="2">
        <v>1</v>
      </c>
      <c r="U1115" s="2" t="str">
        <f>IF(T1115&lt;=1, "1",IF(AND(T1115&gt;1,T1115&lt;4), "2-3", "+4"))</f>
        <v>1</v>
      </c>
      <c r="V1115" s="5">
        <f>S1115*T1115</f>
        <v>8.84</v>
      </c>
      <c r="W1115" s="6" t="s">
        <v>2845</v>
      </c>
    </row>
    <row r="1116" spans="1:23" x14ac:dyDescent="0.15">
      <c r="A1116" s="2" t="s">
        <v>202</v>
      </c>
      <c r="B1116" s="2" t="s">
        <v>3936</v>
      </c>
      <c r="C1116" s="2" t="s">
        <v>931</v>
      </c>
      <c r="D1116" s="2" t="s">
        <v>730</v>
      </c>
      <c r="E1116" s="1" t="s">
        <v>3729</v>
      </c>
      <c r="F1116" s="2" t="s">
        <v>374</v>
      </c>
      <c r="G1116" s="2" t="s">
        <v>891</v>
      </c>
      <c r="H1116" s="2" t="str">
        <f t="shared" si="42"/>
        <v>W</v>
      </c>
      <c r="I1116" s="5">
        <v>17</v>
      </c>
      <c r="J1116" s="5">
        <v>798</v>
      </c>
      <c r="K1116" s="5"/>
      <c r="L1116" s="5">
        <v>3</v>
      </c>
      <c r="M1116" s="2" t="s">
        <v>571</v>
      </c>
      <c r="N1116" s="5">
        <v>47</v>
      </c>
      <c r="O1116" s="5">
        <v>25</v>
      </c>
      <c r="P1116" s="5">
        <f xml:space="preserve"> 0.115*N1116 + 0.8*O1116 - 10.217</f>
        <v>15.188000000000001</v>
      </c>
      <c r="Q1116" s="2" t="s">
        <v>376</v>
      </c>
      <c r="R1116" s="5">
        <f>P1116*L1116</f>
        <v>45.564</v>
      </c>
      <c r="S1116" s="5">
        <f>(R1116/J1116)*100</f>
        <v>5.7097744360902256</v>
      </c>
      <c r="V1116" s="5"/>
      <c r="W1116" s="6" t="s">
        <v>2502</v>
      </c>
    </row>
    <row r="1117" spans="1:23" x14ac:dyDescent="0.15">
      <c r="A1117" s="2" t="s">
        <v>202</v>
      </c>
      <c r="B1117" s="2" t="s">
        <v>3936</v>
      </c>
      <c r="C1117" s="2" t="s">
        <v>931</v>
      </c>
      <c r="D1117" s="2" t="s">
        <v>730</v>
      </c>
      <c r="E1117" s="1" t="s">
        <v>3729</v>
      </c>
      <c r="F1117" s="4" t="s">
        <v>573</v>
      </c>
      <c r="G1117" s="4">
        <v>18.72</v>
      </c>
      <c r="H1117" s="2" t="str">
        <f t="shared" si="42"/>
        <v>W</v>
      </c>
      <c r="I1117" s="5">
        <v>15.8</v>
      </c>
      <c r="J1117" s="5">
        <v>505</v>
      </c>
      <c r="K1117" s="5"/>
      <c r="L1117" s="5">
        <v>2.4</v>
      </c>
      <c r="M1117" s="2" t="s">
        <v>571</v>
      </c>
      <c r="N1117" s="5">
        <v>46</v>
      </c>
      <c r="O1117" s="5">
        <v>27</v>
      </c>
      <c r="P1117" s="5">
        <v>22.5</v>
      </c>
      <c r="Q1117" s="2" t="s">
        <v>18</v>
      </c>
      <c r="R1117" s="5">
        <f>P1117*L1117</f>
        <v>54</v>
      </c>
      <c r="S1117" s="5">
        <v>8.5</v>
      </c>
      <c r="T1117" s="2">
        <v>1</v>
      </c>
      <c r="U1117" s="2" t="str">
        <f>IF(T1117&lt;=1, "1",IF(AND(T1117&gt;1,T1117&lt;4), "2-3", "+4"))</f>
        <v>1</v>
      </c>
      <c r="V1117" s="5">
        <f>S1117*T1117</f>
        <v>8.5</v>
      </c>
      <c r="W1117" s="10" t="s">
        <v>1830</v>
      </c>
    </row>
    <row r="1118" spans="1:23" x14ac:dyDescent="0.15">
      <c r="A1118" s="2" t="s">
        <v>202</v>
      </c>
      <c r="B1118" s="2" t="s">
        <v>3936</v>
      </c>
      <c r="C1118" s="2" t="s">
        <v>931</v>
      </c>
      <c r="D1118" s="2" t="s">
        <v>730</v>
      </c>
      <c r="E1118" s="1" t="s">
        <v>3729</v>
      </c>
      <c r="F1118" s="4" t="s">
        <v>574</v>
      </c>
      <c r="G1118" s="4">
        <v>18.72</v>
      </c>
      <c r="H1118" s="2" t="str">
        <f t="shared" si="42"/>
        <v>W</v>
      </c>
      <c r="I1118" s="33">
        <v>17</v>
      </c>
      <c r="J1118" s="33">
        <v>610.6</v>
      </c>
      <c r="K1118" s="33"/>
      <c r="L1118" s="33">
        <v>3.9</v>
      </c>
      <c r="M1118" s="4" t="s">
        <v>571</v>
      </c>
      <c r="N1118" s="33">
        <v>44</v>
      </c>
      <c r="O1118" s="33">
        <v>26</v>
      </c>
      <c r="P1118" s="5">
        <v>18.100000000000001</v>
      </c>
      <c r="Q1118" s="2" t="s">
        <v>18</v>
      </c>
      <c r="R1118" s="5">
        <f>P1118*L1118</f>
        <v>70.59</v>
      </c>
      <c r="S1118" s="5">
        <v>10.9</v>
      </c>
      <c r="T1118" s="2">
        <v>1</v>
      </c>
      <c r="U1118" s="2" t="str">
        <f>IF(T1118&lt;=1, "1",IF(AND(T1118&gt;1,T1118&lt;4), "2-3", "+4"))</f>
        <v>1</v>
      </c>
      <c r="V1118" s="5">
        <f>S1118*T1118</f>
        <v>10.9</v>
      </c>
      <c r="W1118" s="10" t="s">
        <v>1830</v>
      </c>
    </row>
    <row r="1119" spans="1:23" x14ac:dyDescent="0.15">
      <c r="A1119" s="1" t="s">
        <v>202</v>
      </c>
      <c r="B1119" s="2" t="s">
        <v>3936</v>
      </c>
      <c r="C1119" s="2" t="s">
        <v>931</v>
      </c>
      <c r="D1119" s="2" t="s">
        <v>730</v>
      </c>
      <c r="E1119" s="1" t="s">
        <v>3729</v>
      </c>
      <c r="F1119" s="1" t="s">
        <v>374</v>
      </c>
      <c r="G1119" s="1" t="s">
        <v>374</v>
      </c>
      <c r="H1119" s="2" t="str">
        <f t="shared" si="42"/>
        <v>C</v>
      </c>
      <c r="I1119" s="8">
        <v>18.100000000000001</v>
      </c>
      <c r="J1119" s="8">
        <v>698</v>
      </c>
      <c r="K1119" s="8"/>
      <c r="L1119" s="8">
        <v>3.5</v>
      </c>
      <c r="M1119" s="4" t="s">
        <v>571</v>
      </c>
      <c r="N1119" s="8">
        <v>43</v>
      </c>
      <c r="O1119" s="8">
        <v>25</v>
      </c>
      <c r="P1119" s="8">
        <v>17.600000000000001</v>
      </c>
      <c r="Q1119" s="1" t="s">
        <v>18</v>
      </c>
      <c r="R1119" s="8">
        <v>62.2</v>
      </c>
      <c r="S1119" s="8">
        <v>8.9109999999999996</v>
      </c>
      <c r="T1119" s="1">
        <v>1</v>
      </c>
      <c r="U1119" s="2" t="str">
        <f>IF(T1119&lt;=1, "1",IF(AND(T1119&gt;1,T1119&lt;4), "2-3", "+4"))</f>
        <v>1</v>
      </c>
      <c r="V1119" s="8">
        <v>8.9109999999999996</v>
      </c>
      <c r="W1119" s="6" t="s">
        <v>3589</v>
      </c>
    </row>
    <row r="1120" spans="1:23" x14ac:dyDescent="0.15">
      <c r="A1120" s="2" t="s">
        <v>202</v>
      </c>
      <c r="B1120" s="2" t="s">
        <v>3936</v>
      </c>
      <c r="C1120" s="2" t="s">
        <v>931</v>
      </c>
      <c r="D1120" s="2" t="s">
        <v>730</v>
      </c>
      <c r="E1120" s="1" t="s">
        <v>3729</v>
      </c>
      <c r="F1120" s="2" t="s">
        <v>374</v>
      </c>
      <c r="G1120" s="2" t="s">
        <v>374</v>
      </c>
      <c r="H1120" s="2" t="str">
        <f t="shared" si="42"/>
        <v>C</v>
      </c>
      <c r="I1120" s="5"/>
      <c r="J1120" s="5"/>
      <c r="K1120" s="5"/>
      <c r="L1120" s="7">
        <v>3.5</v>
      </c>
      <c r="M1120" s="2" t="s">
        <v>571</v>
      </c>
      <c r="N1120" s="5">
        <v>42</v>
      </c>
      <c r="O1120" s="5">
        <v>27.5</v>
      </c>
      <c r="P1120" s="5">
        <v>17.3</v>
      </c>
      <c r="Q1120" s="2" t="s">
        <v>18</v>
      </c>
      <c r="R1120" s="5">
        <v>60.55</v>
      </c>
      <c r="S1120" s="5"/>
      <c r="V1120" s="5"/>
      <c r="W1120" s="6" t="s">
        <v>2503</v>
      </c>
    </row>
    <row r="1121" spans="1:23" x14ac:dyDescent="0.15">
      <c r="A1121" s="2" t="s">
        <v>202</v>
      </c>
      <c r="B1121" s="2" t="s">
        <v>3936</v>
      </c>
      <c r="C1121" s="2" t="s">
        <v>931</v>
      </c>
      <c r="D1121" s="2" t="s">
        <v>730</v>
      </c>
      <c r="E1121" s="1" t="s">
        <v>3729</v>
      </c>
      <c r="F1121" s="2" t="s">
        <v>204</v>
      </c>
      <c r="G1121" s="2" t="s">
        <v>2954</v>
      </c>
      <c r="H1121" s="2" t="str">
        <f t="shared" si="42"/>
        <v>W</v>
      </c>
      <c r="I1121" s="5"/>
      <c r="J1121" s="5"/>
      <c r="K1121" s="5"/>
      <c r="L1121" s="7">
        <f>MEDIAN(1,3)</f>
        <v>2</v>
      </c>
      <c r="M1121" s="2" t="s">
        <v>571</v>
      </c>
      <c r="N1121" s="5">
        <f>MEDIAN(51,56)</f>
        <v>53.5</v>
      </c>
      <c r="O1121" s="5">
        <f>MEDIAN(25,27)</f>
        <v>26</v>
      </c>
      <c r="P1121" s="5">
        <f xml:space="preserve"> 0.115*N1121 + 0.8*O1121 - 10.217</f>
        <v>16.735500000000002</v>
      </c>
      <c r="Q1121" s="2" t="s">
        <v>376</v>
      </c>
      <c r="R1121" s="5">
        <f>P1121*L1121</f>
        <v>33.471000000000004</v>
      </c>
      <c r="S1121" s="5"/>
      <c r="V1121" s="5"/>
      <c r="W1121" s="6" t="s">
        <v>2975</v>
      </c>
    </row>
    <row r="1122" spans="1:23" x14ac:dyDescent="0.15">
      <c r="A1122" s="2" t="s">
        <v>202</v>
      </c>
      <c r="B1122" s="2" t="s">
        <v>3936</v>
      </c>
      <c r="C1122" s="2" t="s">
        <v>931</v>
      </c>
      <c r="D1122" s="2" t="s">
        <v>731</v>
      </c>
      <c r="E1122" s="1"/>
      <c r="F1122" s="2" t="s">
        <v>374</v>
      </c>
      <c r="G1122" s="2" t="s">
        <v>374</v>
      </c>
      <c r="H1122" s="2" t="str">
        <f t="shared" si="42"/>
        <v>C</v>
      </c>
      <c r="I1122" s="5">
        <v>14.69</v>
      </c>
      <c r="J1122" s="5">
        <v>434.3</v>
      </c>
      <c r="K1122" s="5"/>
      <c r="L1122" s="5">
        <v>3.14</v>
      </c>
      <c r="M1122" s="2" t="s">
        <v>571</v>
      </c>
      <c r="N1122" s="5">
        <v>50.4</v>
      </c>
      <c r="O1122" s="5">
        <v>21.15</v>
      </c>
      <c r="P1122" s="5">
        <v>14</v>
      </c>
      <c r="Q1122" s="2" t="s">
        <v>18</v>
      </c>
      <c r="R1122" s="5">
        <v>43.96</v>
      </c>
      <c r="S1122" s="5">
        <v>10.119999999999999</v>
      </c>
      <c r="T1122" s="2">
        <v>1</v>
      </c>
      <c r="U1122" s="2" t="str">
        <f>IF(T1122&lt;=1, "1",IF(AND(T1122&gt;1,T1122&lt;4), "2-3", "+4"))</f>
        <v>1</v>
      </c>
      <c r="V1122" s="5">
        <f>S1122*T1122</f>
        <v>10.119999999999999</v>
      </c>
      <c r="W1122" s="6" t="s">
        <v>2507</v>
      </c>
    </row>
    <row r="1123" spans="1:23" x14ac:dyDescent="0.15">
      <c r="A1123" s="2" t="s">
        <v>202</v>
      </c>
      <c r="B1123" s="2" t="s">
        <v>3936</v>
      </c>
      <c r="C1123" s="2" t="s">
        <v>931</v>
      </c>
      <c r="D1123" s="2" t="s">
        <v>731</v>
      </c>
      <c r="E1123" s="1"/>
      <c r="F1123" s="2" t="s">
        <v>374</v>
      </c>
      <c r="G1123" s="2" t="s">
        <v>374</v>
      </c>
      <c r="H1123" s="2" t="str">
        <f t="shared" si="42"/>
        <v>C</v>
      </c>
      <c r="I1123" s="5">
        <v>14.33</v>
      </c>
      <c r="J1123" s="5">
        <v>409.7</v>
      </c>
      <c r="K1123" s="5"/>
      <c r="L1123" s="5">
        <v>3.14</v>
      </c>
      <c r="M1123" s="2" t="s">
        <v>571</v>
      </c>
      <c r="N1123" s="5"/>
      <c r="O1123" s="5"/>
      <c r="P1123" s="5">
        <v>14</v>
      </c>
      <c r="Q1123" s="2" t="s">
        <v>18</v>
      </c>
      <c r="R1123" s="5">
        <f>L1123*P1123</f>
        <v>43.96</v>
      </c>
      <c r="S1123" s="5">
        <f>(R1123/J1123)*100</f>
        <v>10.729802294361729</v>
      </c>
      <c r="V1123" s="5"/>
      <c r="W1123" s="6" t="s">
        <v>2208</v>
      </c>
    </row>
    <row r="1124" spans="1:23" x14ac:dyDescent="0.15">
      <c r="A1124" s="2" t="s">
        <v>202</v>
      </c>
      <c r="B1124" s="2" t="s">
        <v>3936</v>
      </c>
      <c r="C1124" s="2" t="s">
        <v>931</v>
      </c>
      <c r="D1124" s="2" t="s">
        <v>731</v>
      </c>
      <c r="E1124" s="1"/>
      <c r="F1124" s="2" t="s">
        <v>374</v>
      </c>
      <c r="G1124" s="2" t="s">
        <v>374</v>
      </c>
      <c r="H1124" s="2" t="str">
        <f t="shared" si="42"/>
        <v>C</v>
      </c>
      <c r="I1124" s="5">
        <v>17.2</v>
      </c>
      <c r="J1124" s="5">
        <v>670</v>
      </c>
      <c r="K1124" s="5"/>
      <c r="L1124" s="5">
        <v>4</v>
      </c>
      <c r="M1124" s="2" t="s">
        <v>571</v>
      </c>
      <c r="N1124" s="5"/>
      <c r="O1124" s="5"/>
      <c r="P1124" s="5"/>
      <c r="R1124" s="5"/>
      <c r="S1124" s="5"/>
      <c r="V1124" s="5"/>
      <c r="W1124" s="6" t="s">
        <v>2505</v>
      </c>
    </row>
    <row r="1125" spans="1:23" x14ac:dyDescent="0.15">
      <c r="A1125" s="2" t="s">
        <v>202</v>
      </c>
      <c r="B1125" s="2" t="s">
        <v>3936</v>
      </c>
      <c r="C1125" s="2" t="s">
        <v>931</v>
      </c>
      <c r="D1125" s="2" t="s">
        <v>731</v>
      </c>
      <c r="E1125" s="1"/>
      <c r="F1125" s="2" t="s">
        <v>374</v>
      </c>
      <c r="G1125" s="2" t="s">
        <v>891</v>
      </c>
      <c r="H1125" s="2" t="str">
        <f t="shared" si="42"/>
        <v>W</v>
      </c>
      <c r="I1125" s="5">
        <v>17</v>
      </c>
      <c r="J1125" s="5">
        <f xml:space="preserve"> 0.0000008819*((I1125*10)^4.0004)</f>
        <v>738.08640782734574</v>
      </c>
      <c r="K1125" s="5"/>
      <c r="L1125" s="7">
        <v>4</v>
      </c>
      <c r="M1125" s="2" t="s">
        <v>571</v>
      </c>
      <c r="N1125" s="5"/>
      <c r="O1125" s="5"/>
      <c r="P1125" s="5"/>
      <c r="R1125" s="5"/>
      <c r="S1125" s="5"/>
      <c r="V1125" s="5"/>
      <c r="W1125" s="6" t="s">
        <v>2506</v>
      </c>
    </row>
    <row r="1126" spans="1:23" x14ac:dyDescent="0.15">
      <c r="A1126" s="2" t="s">
        <v>202</v>
      </c>
      <c r="B1126" s="2" t="s">
        <v>3936</v>
      </c>
      <c r="C1126" s="2" t="s">
        <v>931</v>
      </c>
      <c r="D1126" s="2" t="s">
        <v>731</v>
      </c>
      <c r="E1126" s="1"/>
      <c r="F1126" s="2" t="s">
        <v>374</v>
      </c>
      <c r="G1126" s="2" t="s">
        <v>374</v>
      </c>
      <c r="H1126" s="2" t="str">
        <f t="shared" si="42"/>
        <v>C</v>
      </c>
      <c r="I1126" s="5"/>
      <c r="J1126" s="5"/>
      <c r="K1126" s="5"/>
      <c r="L1126" s="5"/>
      <c r="M1126" s="2" t="s">
        <v>571</v>
      </c>
      <c r="N1126" s="5">
        <v>43.88</v>
      </c>
      <c r="O1126" s="5">
        <v>22.9</v>
      </c>
      <c r="P1126" s="5">
        <v>14.32</v>
      </c>
      <c r="Q1126" s="2" t="s">
        <v>376</v>
      </c>
      <c r="R1126" s="5"/>
      <c r="S1126" s="5"/>
      <c r="V1126" s="5"/>
      <c r="W1126" s="6" t="s">
        <v>1829</v>
      </c>
    </row>
    <row r="1127" spans="1:23" x14ac:dyDescent="0.15">
      <c r="A1127" s="2" t="s">
        <v>202</v>
      </c>
      <c r="B1127" s="2" t="s">
        <v>3936</v>
      </c>
      <c r="C1127" s="2" t="s">
        <v>931</v>
      </c>
      <c r="D1127" s="2" t="s">
        <v>731</v>
      </c>
      <c r="E1127" s="1"/>
      <c r="F1127" s="2" t="s">
        <v>374</v>
      </c>
      <c r="G1127" s="2" t="s">
        <v>374</v>
      </c>
      <c r="H1127" s="2" t="str">
        <f t="shared" si="42"/>
        <v>C</v>
      </c>
      <c r="I1127" s="5">
        <v>13.59</v>
      </c>
      <c r="J1127" s="5">
        <f xml:space="preserve"> 0.0000008819*((I1127*10)^4.0004)</f>
        <v>301.40500331534042</v>
      </c>
      <c r="K1127" s="5"/>
      <c r="L1127" s="7"/>
      <c r="M1127" s="2" t="s">
        <v>571</v>
      </c>
      <c r="N1127" s="5"/>
      <c r="O1127" s="5"/>
      <c r="P1127" s="5"/>
      <c r="R1127" s="5"/>
      <c r="S1127" s="5"/>
      <c r="V1127" s="5"/>
      <c r="W1127" s="6" t="s">
        <v>2474</v>
      </c>
    </row>
    <row r="1128" spans="1:23" x14ac:dyDescent="0.15">
      <c r="A1128" s="2" t="s">
        <v>202</v>
      </c>
      <c r="B1128" s="2" t="s">
        <v>3936</v>
      </c>
      <c r="C1128" s="2" t="s">
        <v>931</v>
      </c>
      <c r="D1128" s="2" t="s">
        <v>731</v>
      </c>
      <c r="E1128" s="1"/>
      <c r="F1128" s="2" t="s">
        <v>374</v>
      </c>
      <c r="G1128" s="2" t="s">
        <v>374</v>
      </c>
      <c r="H1128" s="2" t="str">
        <f t="shared" si="42"/>
        <v>C</v>
      </c>
      <c r="I1128" s="5">
        <f>MEDIAN(12,17.2)</f>
        <v>14.6</v>
      </c>
      <c r="J1128" s="5"/>
      <c r="K1128" s="5"/>
      <c r="L1128" s="7">
        <f>MEDIAN(2,6)</f>
        <v>4</v>
      </c>
      <c r="M1128" s="2" t="s">
        <v>571</v>
      </c>
      <c r="N1128" s="5"/>
      <c r="O1128" s="5"/>
      <c r="P1128" s="5"/>
      <c r="R1128" s="5"/>
      <c r="S1128" s="5"/>
      <c r="V1128" s="5"/>
      <c r="W1128" s="6" t="s">
        <v>2504</v>
      </c>
    </row>
    <row r="1129" spans="1:23" x14ac:dyDescent="0.15">
      <c r="A1129" s="2" t="s">
        <v>202</v>
      </c>
      <c r="B1129" s="2" t="s">
        <v>3936</v>
      </c>
      <c r="C1129" s="2" t="s">
        <v>931</v>
      </c>
      <c r="D1129" s="2" t="s">
        <v>732</v>
      </c>
      <c r="E1129" s="1"/>
      <c r="F1129" s="2" t="s">
        <v>374</v>
      </c>
      <c r="G1129" s="2" t="s">
        <v>374</v>
      </c>
      <c r="H1129" s="2" t="str">
        <f t="shared" si="42"/>
        <v>C</v>
      </c>
      <c r="I1129" s="5"/>
      <c r="J1129" s="5"/>
      <c r="K1129" s="5"/>
      <c r="L1129" s="7">
        <f>MEDIAN(1,3)</f>
        <v>2</v>
      </c>
      <c r="M1129" s="4" t="s">
        <v>571</v>
      </c>
      <c r="N1129" s="5"/>
      <c r="O1129" s="5"/>
      <c r="P1129" s="5"/>
      <c r="R1129" s="5"/>
      <c r="S1129" s="5"/>
      <c r="T1129" s="2" t="s">
        <v>410</v>
      </c>
      <c r="U1129" s="40" t="s">
        <v>395</v>
      </c>
      <c r="V1129" s="5"/>
      <c r="W1129" s="6" t="s">
        <v>2478</v>
      </c>
    </row>
    <row r="1130" spans="1:23" x14ac:dyDescent="0.15">
      <c r="A1130" s="2" t="s">
        <v>202</v>
      </c>
      <c r="B1130" s="2" t="s">
        <v>3936</v>
      </c>
      <c r="C1130" s="2" t="s">
        <v>931</v>
      </c>
      <c r="D1130" s="2" t="s">
        <v>732</v>
      </c>
      <c r="E1130" s="1"/>
      <c r="F1130" s="2" t="s">
        <v>374</v>
      </c>
      <c r="G1130" s="2" t="s">
        <v>374</v>
      </c>
      <c r="H1130" s="2" t="str">
        <f t="shared" si="42"/>
        <v>C</v>
      </c>
      <c r="I1130" s="5"/>
      <c r="J1130" s="5"/>
      <c r="K1130" s="5"/>
      <c r="L1130" s="5">
        <v>1</v>
      </c>
      <c r="M1130" s="4" t="s">
        <v>571</v>
      </c>
      <c r="N1130" s="5">
        <v>53</v>
      </c>
      <c r="O1130" s="5">
        <f xml:space="preserve"> (P1130 - 0.664*N1130 + 15.217)/0.139</f>
        <v>28.956834532374099</v>
      </c>
      <c r="P1130" s="5">
        <v>24</v>
      </c>
      <c r="Q1130" s="2" t="s">
        <v>18</v>
      </c>
      <c r="R1130" s="5">
        <f>P1130*L1130</f>
        <v>24</v>
      </c>
      <c r="S1130" s="5"/>
      <c r="T1130" s="2" t="s">
        <v>410</v>
      </c>
      <c r="U1130" s="40" t="s">
        <v>395</v>
      </c>
      <c r="V1130" s="5"/>
      <c r="W1130" s="6" t="s">
        <v>2508</v>
      </c>
    </row>
    <row r="1131" spans="1:23" x14ac:dyDescent="0.15">
      <c r="A1131" s="2" t="s">
        <v>202</v>
      </c>
      <c r="B1131" s="2" t="s">
        <v>3936</v>
      </c>
      <c r="C1131" s="2" t="s">
        <v>931</v>
      </c>
      <c r="D1131" s="2" t="s">
        <v>732</v>
      </c>
      <c r="E1131" s="1"/>
      <c r="F1131" s="2" t="s">
        <v>374</v>
      </c>
      <c r="G1131" s="2" t="s">
        <v>374</v>
      </c>
      <c r="H1131" s="2" t="str">
        <f t="shared" si="42"/>
        <v>C</v>
      </c>
      <c r="I1131" s="5"/>
      <c r="J1131" s="5"/>
      <c r="K1131" s="5"/>
      <c r="L1131" s="7">
        <v>1</v>
      </c>
      <c r="M1131" s="4" t="s">
        <v>571</v>
      </c>
      <c r="N1131" s="5">
        <v>57.9</v>
      </c>
      <c r="O1131" s="5">
        <v>31</v>
      </c>
      <c r="P1131" s="5">
        <v>26</v>
      </c>
      <c r="Q1131" s="2" t="s">
        <v>18</v>
      </c>
      <c r="R1131" s="5">
        <v>26</v>
      </c>
      <c r="S1131" s="5"/>
      <c r="V1131" s="5"/>
      <c r="W1131" s="6" t="s">
        <v>2481</v>
      </c>
    </row>
    <row r="1132" spans="1:23" x14ac:dyDescent="0.15">
      <c r="A1132" s="2" t="s">
        <v>202</v>
      </c>
      <c r="B1132" s="2" t="s">
        <v>3936</v>
      </c>
      <c r="C1132" s="2" t="s">
        <v>931</v>
      </c>
      <c r="D1132" s="2" t="s">
        <v>732</v>
      </c>
      <c r="E1132" s="1"/>
      <c r="F1132" s="2" t="s">
        <v>374</v>
      </c>
      <c r="G1132" s="2" t="s">
        <v>374</v>
      </c>
      <c r="H1132" s="2" t="str">
        <f t="shared" si="42"/>
        <v>C</v>
      </c>
      <c r="I1132" s="5"/>
      <c r="J1132" s="5"/>
      <c r="K1132" s="5"/>
      <c r="L1132" s="7">
        <v>1</v>
      </c>
      <c r="M1132" s="4" t="s">
        <v>571</v>
      </c>
      <c r="N1132" s="5"/>
      <c r="O1132" s="5"/>
      <c r="P1132" s="5">
        <v>26.6</v>
      </c>
      <c r="Q1132" s="2" t="s">
        <v>18</v>
      </c>
      <c r="R1132" s="5">
        <v>26.6</v>
      </c>
      <c r="S1132" s="5"/>
      <c r="T1132" s="7">
        <f>MEDIAN(1,2)</f>
        <v>1.5</v>
      </c>
      <c r="U1132" s="2" t="str">
        <f>IF(T1132&lt;=1, "1",IF(AND(T1132&gt;1,T1132&lt;4), "2-3", "+4"))</f>
        <v>2-3</v>
      </c>
      <c r="V1132" s="5"/>
      <c r="W1132" s="6" t="s">
        <v>2514</v>
      </c>
    </row>
    <row r="1133" spans="1:23" x14ac:dyDescent="0.15">
      <c r="A1133" s="2" t="s">
        <v>202</v>
      </c>
      <c r="B1133" s="2" t="s">
        <v>3936</v>
      </c>
      <c r="C1133" s="2" t="s">
        <v>931</v>
      </c>
      <c r="D1133" s="2" t="s">
        <v>733</v>
      </c>
      <c r="E1133" s="1" t="s">
        <v>936</v>
      </c>
      <c r="F1133" s="2" t="s">
        <v>374</v>
      </c>
      <c r="G1133" s="2" t="s">
        <v>374</v>
      </c>
      <c r="H1133" s="2" t="str">
        <f t="shared" si="42"/>
        <v>C</v>
      </c>
      <c r="I1133" s="5">
        <v>18.920000000000002</v>
      </c>
      <c r="J1133" s="5">
        <v>1066.77</v>
      </c>
      <c r="K1133" s="5"/>
      <c r="L1133" s="5">
        <v>3.35</v>
      </c>
      <c r="M1133" s="2" t="s">
        <v>571</v>
      </c>
      <c r="N1133" s="5"/>
      <c r="O1133" s="5"/>
      <c r="P1133" s="5"/>
      <c r="R1133" s="5"/>
      <c r="S1133" s="5"/>
      <c r="T1133" s="2">
        <v>1</v>
      </c>
      <c r="U1133" s="2" t="str">
        <f>IF(T1133&lt;=1, "1",IF(AND(T1133&gt;1,T1133&lt;4), "2-3", "+4"))</f>
        <v>1</v>
      </c>
      <c r="V1133" s="5"/>
      <c r="W1133" s="6" t="s">
        <v>2524</v>
      </c>
    </row>
    <row r="1134" spans="1:23" x14ac:dyDescent="0.15">
      <c r="A1134" s="2" t="s">
        <v>202</v>
      </c>
      <c r="B1134" s="2" t="s">
        <v>3936</v>
      </c>
      <c r="C1134" s="2" t="s">
        <v>931</v>
      </c>
      <c r="D1134" s="2" t="s">
        <v>733</v>
      </c>
      <c r="E1134" s="1" t="s">
        <v>936</v>
      </c>
      <c r="F1134" s="2" t="s">
        <v>374</v>
      </c>
      <c r="G1134" s="2" t="s">
        <v>374</v>
      </c>
      <c r="H1134" s="2" t="str">
        <f t="shared" ref="H1134:H1199" si="43">IF(G1134="captive","C","W")</f>
        <v>C</v>
      </c>
      <c r="I1134" s="5">
        <v>18.27</v>
      </c>
      <c r="J1134" s="5">
        <v>834.7</v>
      </c>
      <c r="K1134" s="5"/>
      <c r="L1134" s="7">
        <v>3.35</v>
      </c>
      <c r="M1134" s="2" t="s">
        <v>571</v>
      </c>
      <c r="N1134" s="5"/>
      <c r="O1134" s="7"/>
      <c r="P1134" s="5"/>
      <c r="R1134" s="5"/>
      <c r="S1134" s="5"/>
      <c r="T1134" s="9"/>
      <c r="U1134" s="9"/>
      <c r="V1134" s="5"/>
      <c r="W1134" s="6" t="s">
        <v>2515</v>
      </c>
    </row>
    <row r="1135" spans="1:23" x14ac:dyDescent="0.15">
      <c r="A1135" s="2" t="s">
        <v>202</v>
      </c>
      <c r="B1135" s="2" t="s">
        <v>3936</v>
      </c>
      <c r="C1135" s="2" t="s">
        <v>931</v>
      </c>
      <c r="D1135" s="2" t="s">
        <v>733</v>
      </c>
      <c r="E1135" s="1" t="s">
        <v>936</v>
      </c>
      <c r="F1135" s="2" t="s">
        <v>374</v>
      </c>
      <c r="G1135" s="2" t="s">
        <v>374</v>
      </c>
      <c r="H1135" s="2" t="str">
        <f t="shared" si="43"/>
        <v>C</v>
      </c>
      <c r="I1135" s="5"/>
      <c r="J1135" s="5"/>
      <c r="K1135" s="5"/>
      <c r="L1135" s="7">
        <f>MEDIAN(1,4)</f>
        <v>2.5</v>
      </c>
      <c r="M1135" s="2" t="s">
        <v>571</v>
      </c>
      <c r="N1135" s="5">
        <f>MEDIAN(45,61)</f>
        <v>53</v>
      </c>
      <c r="O1135" s="7">
        <f>MEDIAN(25,29)</f>
        <v>27</v>
      </c>
      <c r="P1135" s="5">
        <f xml:space="preserve"> 0.424*N1135 + 1.227*O1135 - 32.474</f>
        <v>23.127000000000002</v>
      </c>
      <c r="Q1135" s="2" t="s">
        <v>376</v>
      </c>
      <c r="R1135" s="5">
        <f>P1135*L1135</f>
        <v>57.81750000000001</v>
      </c>
      <c r="S1135" s="5"/>
      <c r="T1135" s="9" t="s">
        <v>2271</v>
      </c>
      <c r="U1135" s="9"/>
      <c r="V1135" s="5"/>
      <c r="W1135" s="6" t="s">
        <v>2487</v>
      </c>
    </row>
    <row r="1136" spans="1:23" x14ac:dyDescent="0.15">
      <c r="A1136" s="2" t="s">
        <v>202</v>
      </c>
      <c r="B1136" s="2" t="s">
        <v>3936</v>
      </c>
      <c r="C1136" s="2" t="s">
        <v>931</v>
      </c>
      <c r="D1136" s="2" t="s">
        <v>733</v>
      </c>
      <c r="E1136" s="1" t="s">
        <v>936</v>
      </c>
      <c r="F1136" s="2" t="s">
        <v>374</v>
      </c>
      <c r="G1136" s="2">
        <v>23</v>
      </c>
      <c r="H1136" s="2" t="str">
        <f t="shared" si="43"/>
        <v>W</v>
      </c>
      <c r="I1136" s="5"/>
      <c r="J1136" s="5"/>
      <c r="K1136" s="5"/>
      <c r="L1136" s="5">
        <v>2</v>
      </c>
      <c r="M1136" s="2" t="s">
        <v>571</v>
      </c>
      <c r="N1136" s="5"/>
      <c r="O1136" s="5"/>
      <c r="P1136" s="5"/>
      <c r="R1136" s="5"/>
      <c r="S1136" s="5"/>
      <c r="V1136" s="5"/>
      <c r="W1136" s="6" t="s">
        <v>1938</v>
      </c>
    </row>
    <row r="1137" spans="1:46" x14ac:dyDescent="0.15">
      <c r="A1137" s="2" t="s">
        <v>202</v>
      </c>
      <c r="B1137" s="2" t="s">
        <v>3936</v>
      </c>
      <c r="C1137" s="2" t="s">
        <v>931</v>
      </c>
      <c r="D1137" s="2" t="s">
        <v>733</v>
      </c>
      <c r="E1137" s="1" t="s">
        <v>936</v>
      </c>
      <c r="F1137" s="2" t="s">
        <v>374</v>
      </c>
      <c r="G1137" s="2" t="s">
        <v>374</v>
      </c>
      <c r="H1137" s="2" t="str">
        <f t="shared" si="43"/>
        <v>C</v>
      </c>
      <c r="I1137" s="5">
        <v>20</v>
      </c>
      <c r="J1137" s="5">
        <f xml:space="preserve"> 0.0000008819*((I1137*10)^4.0004)</f>
        <v>1414.033626210603</v>
      </c>
      <c r="K1137" s="5">
        <v>44750</v>
      </c>
      <c r="L1137" s="5">
        <v>3.5</v>
      </c>
      <c r="M1137" s="2" t="s">
        <v>571</v>
      </c>
      <c r="N1137" s="5">
        <v>47</v>
      </c>
      <c r="O1137" s="5">
        <v>26</v>
      </c>
      <c r="P1137" s="5">
        <v>20.100000000000001</v>
      </c>
      <c r="Q1137" s="2" t="s">
        <v>376</v>
      </c>
      <c r="R1137" s="5">
        <v>70.36</v>
      </c>
      <c r="S1137" s="5">
        <f>(R1137/J1137)*100</f>
        <v>4.9758364083995792</v>
      </c>
      <c r="V1137" s="5"/>
      <c r="W1137" s="6" t="s">
        <v>2978</v>
      </c>
    </row>
    <row r="1138" spans="1:46" x14ac:dyDescent="0.15">
      <c r="A1138" s="2" t="s">
        <v>202</v>
      </c>
      <c r="B1138" s="2" t="s">
        <v>3936</v>
      </c>
      <c r="C1138" s="2" t="s">
        <v>931</v>
      </c>
      <c r="D1138" s="2" t="s">
        <v>733</v>
      </c>
      <c r="E1138" s="1" t="s">
        <v>936</v>
      </c>
      <c r="F1138" s="2" t="s">
        <v>374</v>
      </c>
      <c r="G1138" s="2" t="s">
        <v>374</v>
      </c>
      <c r="H1138" s="2" t="str">
        <f t="shared" si="43"/>
        <v>C</v>
      </c>
      <c r="I1138" s="5"/>
      <c r="J1138" s="5"/>
      <c r="K1138" s="5"/>
      <c r="L1138" s="7">
        <f>MEDIAN(2,6)</f>
        <v>4</v>
      </c>
      <c r="M1138" s="2" t="s">
        <v>571</v>
      </c>
      <c r="N1138" s="5">
        <f>MEDIAN(48,50)</f>
        <v>49</v>
      </c>
      <c r="O1138" s="5">
        <f>MEDIAN(26,27)</f>
        <v>26.5</v>
      </c>
      <c r="P1138" s="5">
        <v>19.5</v>
      </c>
      <c r="Q1138" s="2" t="s">
        <v>376</v>
      </c>
      <c r="R1138" s="5">
        <f>P1138*L1138</f>
        <v>78</v>
      </c>
      <c r="S1138" s="5"/>
      <c r="V1138" s="5"/>
      <c r="W1138" s="6" t="s">
        <v>2001</v>
      </c>
    </row>
    <row r="1139" spans="1:46" x14ac:dyDescent="0.15">
      <c r="A1139" s="2" t="s">
        <v>202</v>
      </c>
      <c r="B1139" s="2" t="s">
        <v>3936</v>
      </c>
      <c r="C1139" s="2" t="s">
        <v>931</v>
      </c>
      <c r="D1139" s="2" t="s">
        <v>733</v>
      </c>
      <c r="E1139" s="1" t="s">
        <v>936</v>
      </c>
      <c r="F1139" s="2" t="s">
        <v>374</v>
      </c>
      <c r="G1139" s="2" t="s">
        <v>374</v>
      </c>
      <c r="H1139" s="2" t="str">
        <f t="shared" si="43"/>
        <v>C</v>
      </c>
      <c r="I1139" s="5"/>
      <c r="J1139" s="5"/>
      <c r="K1139" s="5"/>
      <c r="L1139" s="5"/>
      <c r="M1139" s="2" t="s">
        <v>571</v>
      </c>
      <c r="N1139" s="5">
        <v>50.740000000000009</v>
      </c>
      <c r="O1139" s="5">
        <v>29.02333333333333</v>
      </c>
      <c r="P1139" s="5">
        <v>24.889999999999993</v>
      </c>
      <c r="Q1139" s="2" t="s">
        <v>18</v>
      </c>
      <c r="R1139" s="5"/>
      <c r="S1139" s="5"/>
      <c r="V1139" s="5"/>
      <c r="W1139" s="6" t="s">
        <v>3644</v>
      </c>
    </row>
    <row r="1140" spans="1:46" x14ac:dyDescent="0.15">
      <c r="A1140" s="2" t="s">
        <v>202</v>
      </c>
      <c r="B1140" s="2" t="s">
        <v>3936</v>
      </c>
      <c r="C1140" s="2" t="s">
        <v>931</v>
      </c>
      <c r="D1140" s="2" t="s">
        <v>734</v>
      </c>
      <c r="E1140" s="1"/>
      <c r="F1140" s="2" t="s">
        <v>374</v>
      </c>
      <c r="G1140" s="2">
        <v>12</v>
      </c>
      <c r="H1140" s="2" t="str">
        <f t="shared" si="43"/>
        <v>W</v>
      </c>
      <c r="I1140" s="5">
        <v>16.260000000000002</v>
      </c>
      <c r="J1140" s="5"/>
      <c r="K1140" s="5"/>
      <c r="L1140" s="5"/>
      <c r="M1140" s="2" t="s">
        <v>571</v>
      </c>
      <c r="N1140" s="5"/>
      <c r="O1140" s="5"/>
      <c r="P1140" s="5"/>
      <c r="R1140" s="5"/>
      <c r="S1140" s="5"/>
      <c r="V1140" s="5"/>
      <c r="W1140" s="6" t="s">
        <v>2003</v>
      </c>
    </row>
    <row r="1141" spans="1:46" x14ac:dyDescent="0.15">
      <c r="A1141" s="2" t="s">
        <v>202</v>
      </c>
      <c r="B1141" s="2" t="s">
        <v>3936</v>
      </c>
      <c r="C1141" s="2" t="s">
        <v>931</v>
      </c>
      <c r="D1141" s="2" t="s">
        <v>734</v>
      </c>
      <c r="E1141" s="1"/>
      <c r="F1141" s="2" t="s">
        <v>374</v>
      </c>
      <c r="G1141" s="2" t="s">
        <v>374</v>
      </c>
      <c r="H1141" s="2" t="str">
        <f t="shared" si="43"/>
        <v>C</v>
      </c>
      <c r="I1141" s="5">
        <v>17.52</v>
      </c>
      <c r="J1141" s="5">
        <v>850</v>
      </c>
      <c r="K1141" s="5"/>
      <c r="L1141" s="7">
        <v>5</v>
      </c>
      <c r="M1141" s="2" t="s">
        <v>571</v>
      </c>
      <c r="N1141" s="5">
        <v>38.65</v>
      </c>
      <c r="O1141" s="5">
        <v>22.31</v>
      </c>
      <c r="P1141" s="5">
        <v>11.19</v>
      </c>
      <c r="Q1141" s="2" t="s">
        <v>18</v>
      </c>
      <c r="R1141" s="5">
        <v>55.95</v>
      </c>
      <c r="S1141" s="5">
        <v>6.58</v>
      </c>
      <c r="T1141" s="9">
        <v>2</v>
      </c>
      <c r="U1141" s="2" t="str">
        <f>IF(T1141&lt;=1, "1",IF(AND(T1141&gt;1,T1141&lt;4), "2-3", "+4"))</f>
        <v>2-3</v>
      </c>
      <c r="V1141" s="5">
        <f>S1141*T1141</f>
        <v>13.16</v>
      </c>
      <c r="W1141" s="6" t="s">
        <v>2516</v>
      </c>
    </row>
    <row r="1142" spans="1:46" x14ac:dyDescent="0.15">
      <c r="A1142" s="2" t="s">
        <v>202</v>
      </c>
      <c r="B1142" s="2" t="s">
        <v>3936</v>
      </c>
      <c r="C1142" s="2" t="s">
        <v>931</v>
      </c>
      <c r="D1142" s="2" t="s">
        <v>584</v>
      </c>
      <c r="E1142" s="1"/>
      <c r="F1142" s="2" t="s">
        <v>374</v>
      </c>
      <c r="G1142" s="2" t="s">
        <v>374</v>
      </c>
      <c r="H1142" s="2" t="str">
        <f t="shared" si="43"/>
        <v>C</v>
      </c>
      <c r="I1142" s="5">
        <v>17</v>
      </c>
      <c r="J1142" s="5">
        <v>737.25</v>
      </c>
      <c r="K1142" s="5"/>
      <c r="L1142" s="5">
        <v>4.33</v>
      </c>
      <c r="M1142" s="2" t="s">
        <v>571</v>
      </c>
      <c r="N1142" s="5">
        <v>44.75</v>
      </c>
      <c r="O1142" s="5">
        <v>23.1</v>
      </c>
      <c r="P1142" s="5">
        <f xml:space="preserve"> (0.465*N1142) + (1.265*O1142) - 35.2</f>
        <v>14.830249999999992</v>
      </c>
      <c r="Q1142" s="2" t="s">
        <v>376</v>
      </c>
      <c r="R1142" s="5">
        <f>P1142*L1142</f>
        <v>64.214982499999962</v>
      </c>
      <c r="S1142" s="5">
        <f>(R1142/J1142)*100</f>
        <v>8.710068836893857</v>
      </c>
      <c r="T1142" s="2">
        <v>1</v>
      </c>
      <c r="U1142" s="2" t="str">
        <f>IF(T1142&lt;=1, "1",IF(AND(T1142&gt;1,T1142&lt;4), "2-3", "+4"))</f>
        <v>1</v>
      </c>
      <c r="V1142" s="5">
        <f>S1142*T1142</f>
        <v>8.710068836893857</v>
      </c>
      <c r="W1142" s="6" t="s">
        <v>2518</v>
      </c>
    </row>
    <row r="1143" spans="1:46" ht="12.75" customHeight="1" x14ac:dyDescent="0.15">
      <c r="A1143" s="2" t="s">
        <v>202</v>
      </c>
      <c r="B1143" s="2" t="s">
        <v>3936</v>
      </c>
      <c r="C1143" s="2" t="s">
        <v>931</v>
      </c>
      <c r="D1143" s="2" t="s">
        <v>584</v>
      </c>
      <c r="E1143" s="1"/>
      <c r="F1143" s="2" t="s">
        <v>374</v>
      </c>
      <c r="G1143" s="2" t="s">
        <v>374</v>
      </c>
      <c r="H1143" s="2" t="str">
        <f t="shared" si="43"/>
        <v>C</v>
      </c>
      <c r="I1143" s="5">
        <v>16.350000000000001</v>
      </c>
      <c r="J1143" s="5">
        <f xml:space="preserve"> 0.0000008819*((I1143*10)^4.0004)</f>
        <v>631.503522960483</v>
      </c>
      <c r="K1143" s="5"/>
      <c r="L1143" s="5">
        <v>4.33</v>
      </c>
      <c r="M1143" s="2" t="s">
        <v>571</v>
      </c>
      <c r="N1143" s="5">
        <v>44.7</v>
      </c>
      <c r="O1143" s="5">
        <v>24.8</v>
      </c>
      <c r="P1143" s="5">
        <f xml:space="preserve"> (0.465*N1143) + (1.265*O1143) - 35.2</f>
        <v>16.957499999999996</v>
      </c>
      <c r="Q1143" s="2" t="s">
        <v>376</v>
      </c>
      <c r="R1143" s="5">
        <f>P1143*L1143</f>
        <v>73.42597499999998</v>
      </c>
      <c r="S1143" s="5">
        <f>(R1143/J1143)*100</f>
        <v>11.627167914405236</v>
      </c>
      <c r="T1143" s="2">
        <v>1</v>
      </c>
      <c r="U1143" s="2" t="str">
        <f>IF(T1143&lt;=1, "1",IF(AND(T1143&gt;1,T1143&lt;4), "2-3", "+4"))</f>
        <v>1</v>
      </c>
      <c r="V1143" s="5">
        <f>S1143*T1143</f>
        <v>11.627167914405236</v>
      </c>
      <c r="W1143" s="6" t="s">
        <v>2517</v>
      </c>
    </row>
    <row r="1144" spans="1:46" x14ac:dyDescent="0.15">
      <c r="A1144" s="2" t="s">
        <v>202</v>
      </c>
      <c r="B1144" s="2" t="s">
        <v>3936</v>
      </c>
      <c r="C1144" s="2" t="s">
        <v>931</v>
      </c>
      <c r="D1144" s="2" t="s">
        <v>584</v>
      </c>
      <c r="E1144" s="1"/>
      <c r="F1144" s="2" t="s">
        <v>374</v>
      </c>
      <c r="G1144" s="2" t="s">
        <v>374</v>
      </c>
      <c r="H1144" s="2" t="str">
        <f t="shared" si="43"/>
        <v>C</v>
      </c>
      <c r="I1144" s="5"/>
      <c r="J1144" s="5"/>
      <c r="K1144" s="5"/>
      <c r="L1144" s="7">
        <f>MEDIAN(4,5)</f>
        <v>4.5</v>
      </c>
      <c r="M1144" s="2" t="s">
        <v>571</v>
      </c>
      <c r="N1144" s="7">
        <f>MEDIAN(40.6,49.6)</f>
        <v>45.1</v>
      </c>
      <c r="O1144" s="7">
        <f>MEDIAN(22.8,23.1)</f>
        <v>22.950000000000003</v>
      </c>
      <c r="P1144" s="7">
        <f>MEDIAN(11,16)</f>
        <v>13.5</v>
      </c>
      <c r="Q1144" s="2" t="s">
        <v>18</v>
      </c>
      <c r="R1144" s="5">
        <f>P1144*L1144</f>
        <v>60.75</v>
      </c>
      <c r="S1144" s="5"/>
      <c r="T1144" s="9">
        <v>1</v>
      </c>
      <c r="U1144" s="2" t="str">
        <f>IF(T1144&lt;=1, "1",IF(AND(T1144&gt;1,T1144&lt;4), "2-3", "+4"))</f>
        <v>1</v>
      </c>
      <c r="V1144" s="5"/>
      <c r="W1144" s="6" t="s">
        <v>2519</v>
      </c>
    </row>
    <row r="1145" spans="1:46" x14ac:dyDescent="0.15">
      <c r="A1145" s="2" t="s">
        <v>202</v>
      </c>
      <c r="B1145" s="2" t="s">
        <v>3936</v>
      </c>
      <c r="C1145" s="2" t="s">
        <v>937</v>
      </c>
      <c r="D1145" s="2" t="s">
        <v>373</v>
      </c>
      <c r="E1145" s="1"/>
      <c r="F1145" s="2" t="s">
        <v>374</v>
      </c>
      <c r="G1145" s="2" t="s">
        <v>374</v>
      </c>
      <c r="H1145" s="2" t="str">
        <f t="shared" si="43"/>
        <v>C</v>
      </c>
      <c r="I1145" s="5"/>
      <c r="J1145" s="5"/>
      <c r="K1145" s="5"/>
      <c r="L1145" s="5">
        <v>5</v>
      </c>
      <c r="M1145" s="4" t="s">
        <v>571</v>
      </c>
      <c r="N1145" s="5">
        <v>61</v>
      </c>
      <c r="O1145" s="5">
        <v>30</v>
      </c>
      <c r="P1145" s="5">
        <v>36</v>
      </c>
      <c r="Q1145" s="2" t="s">
        <v>18</v>
      </c>
      <c r="R1145" s="5">
        <f>P1145*L1145</f>
        <v>180</v>
      </c>
      <c r="S1145" s="5"/>
      <c r="V1145" s="5"/>
      <c r="W1145" s="6" t="s">
        <v>3142</v>
      </c>
    </row>
    <row r="1146" spans="1:46" x14ac:dyDescent="0.15">
      <c r="A1146" s="2" t="s">
        <v>202</v>
      </c>
      <c r="B1146" s="2" t="s">
        <v>3936</v>
      </c>
      <c r="C1146" s="2" t="s">
        <v>937</v>
      </c>
      <c r="D1146" s="2" t="s">
        <v>373</v>
      </c>
      <c r="E1146" s="1"/>
      <c r="F1146" s="2" t="s">
        <v>2433</v>
      </c>
      <c r="H1146" s="2" t="s">
        <v>3887</v>
      </c>
      <c r="I1146" s="5">
        <v>17.91</v>
      </c>
      <c r="J1146" s="5">
        <f xml:space="preserve"> 0.0003111*(I1146*10)^2.821</f>
        <v>706.12674142711467</v>
      </c>
      <c r="K1146" s="5"/>
      <c r="L1146" s="7"/>
      <c r="M1146" s="4" t="s">
        <v>571</v>
      </c>
      <c r="N1146" s="5"/>
      <c r="O1146" s="5"/>
      <c r="P1146" s="5"/>
      <c r="R1146" s="5"/>
      <c r="S1146" s="5"/>
      <c r="T1146" s="9"/>
      <c r="U1146" s="9"/>
      <c r="V1146" s="5"/>
      <c r="W1146" s="6" t="s">
        <v>2434</v>
      </c>
    </row>
    <row r="1147" spans="1:46" ht="12.75" customHeight="1" x14ac:dyDescent="0.15">
      <c r="A1147" s="2" t="s">
        <v>202</v>
      </c>
      <c r="B1147" s="2" t="s">
        <v>3936</v>
      </c>
      <c r="C1147" s="2" t="s">
        <v>937</v>
      </c>
      <c r="D1147" s="2" t="s">
        <v>373</v>
      </c>
      <c r="E1147" s="1"/>
      <c r="F1147" s="2" t="s">
        <v>374</v>
      </c>
      <c r="G1147" s="2" t="s">
        <v>374</v>
      </c>
      <c r="H1147" s="2" t="str">
        <f t="shared" si="43"/>
        <v>C</v>
      </c>
      <c r="I1147" s="5"/>
      <c r="J1147" s="5"/>
      <c r="K1147" s="5"/>
      <c r="L1147" s="5">
        <v>4</v>
      </c>
      <c r="M1147" s="4" t="s">
        <v>571</v>
      </c>
      <c r="N1147" s="5">
        <v>64</v>
      </c>
      <c r="O1147" s="5">
        <v>26</v>
      </c>
      <c r="P1147" s="5">
        <v>29.6</v>
      </c>
      <c r="Q1147" s="2" t="s">
        <v>376</v>
      </c>
      <c r="R1147" s="5">
        <v>118.4</v>
      </c>
      <c r="S1147" s="5"/>
      <c r="V1147" s="5"/>
      <c r="W1147" s="6" t="s">
        <v>3859</v>
      </c>
    </row>
    <row r="1148" spans="1:46" x14ac:dyDescent="0.15">
      <c r="A1148" s="2" t="s">
        <v>202</v>
      </c>
      <c r="B1148" s="2" t="s">
        <v>3936</v>
      </c>
      <c r="C1148" s="2" t="s">
        <v>937</v>
      </c>
      <c r="D1148" s="2" t="s">
        <v>373</v>
      </c>
      <c r="E1148" s="1"/>
      <c r="F1148" s="2" t="s">
        <v>374</v>
      </c>
      <c r="G1148" s="2" t="s">
        <v>374</v>
      </c>
      <c r="H1148" s="2" t="str">
        <f t="shared" si="43"/>
        <v>C</v>
      </c>
      <c r="I1148" s="5"/>
      <c r="J1148" s="5"/>
      <c r="K1148" s="5"/>
      <c r="L1148" s="7">
        <f>MEDIAN(1,4)</f>
        <v>2.5</v>
      </c>
      <c r="M1148" s="4" t="s">
        <v>571</v>
      </c>
      <c r="N1148" s="5">
        <v>66</v>
      </c>
      <c r="O1148" s="5">
        <v>24</v>
      </c>
      <c r="P1148" s="5">
        <v>31.94</v>
      </c>
      <c r="Q1148" s="2" t="s">
        <v>376</v>
      </c>
      <c r="R1148" s="5">
        <f>P1148*L1148</f>
        <v>79.850000000000009</v>
      </c>
      <c r="S1148" s="5"/>
      <c r="T1148" s="2">
        <v>1</v>
      </c>
      <c r="U1148" s="2" t="str">
        <f>IF(T1148&lt;=1, "1",IF(AND(T1148&gt;1,T1148&lt;4), "2-3", "+4"))</f>
        <v>1</v>
      </c>
      <c r="V1148" s="5"/>
      <c r="W1148" s="6" t="s">
        <v>3005</v>
      </c>
    </row>
    <row r="1149" spans="1:46" x14ac:dyDescent="0.15">
      <c r="A1149" s="1" t="s">
        <v>202</v>
      </c>
      <c r="B1149" s="2" t="s">
        <v>3936</v>
      </c>
      <c r="C1149" s="2" t="s">
        <v>937</v>
      </c>
      <c r="D1149" s="1" t="s">
        <v>373</v>
      </c>
      <c r="E1149" s="1"/>
      <c r="F1149" s="1" t="s">
        <v>2433</v>
      </c>
      <c r="G1149" s="1">
        <v>11.54</v>
      </c>
      <c r="H1149" s="2" t="str">
        <f t="shared" si="43"/>
        <v>W</v>
      </c>
      <c r="I1149" s="8">
        <v>17.600000000000001</v>
      </c>
      <c r="J1149" s="8">
        <v>750</v>
      </c>
      <c r="K1149" s="8">
        <v>5.5</v>
      </c>
      <c r="L1149" s="8">
        <v>2</v>
      </c>
      <c r="M1149" s="4" t="s">
        <v>571</v>
      </c>
      <c r="N1149" s="8">
        <v>51.5</v>
      </c>
      <c r="O1149" s="8">
        <v>27</v>
      </c>
      <c r="P1149" s="8">
        <v>25</v>
      </c>
      <c r="Q1149" s="1" t="s">
        <v>18</v>
      </c>
      <c r="R1149" s="8">
        <v>50</v>
      </c>
      <c r="S1149" s="8">
        <v>6.67</v>
      </c>
      <c r="T1149" s="1"/>
      <c r="U1149" s="1"/>
      <c r="V1149" s="8"/>
      <c r="W1149" s="3" t="s">
        <v>3997</v>
      </c>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row>
    <row r="1150" spans="1:46" x14ac:dyDescent="0.15">
      <c r="A1150" s="2" t="s">
        <v>202</v>
      </c>
      <c r="B1150" s="2" t="s">
        <v>3936</v>
      </c>
      <c r="C1150" s="2" t="s">
        <v>937</v>
      </c>
      <c r="D1150" s="2" t="s">
        <v>735</v>
      </c>
      <c r="E1150" s="1"/>
      <c r="F1150" s="2" t="s">
        <v>459</v>
      </c>
      <c r="H1150" s="2" t="s">
        <v>3887</v>
      </c>
      <c r="I1150" s="5">
        <v>18.48</v>
      </c>
      <c r="J1150" s="5">
        <f xml:space="preserve"> 0.0003111*(I1150*10)^2.821</f>
        <v>771.37624378354792</v>
      </c>
      <c r="K1150" s="5"/>
      <c r="L1150" s="7"/>
      <c r="M1150" s="2" t="s">
        <v>571</v>
      </c>
      <c r="N1150" s="5"/>
      <c r="O1150" s="5"/>
      <c r="P1150" s="5"/>
      <c r="R1150" s="5"/>
      <c r="S1150" s="5"/>
      <c r="T1150" s="9"/>
      <c r="U1150" s="9"/>
      <c r="V1150" s="5"/>
      <c r="W1150" s="6" t="s">
        <v>2434</v>
      </c>
    </row>
    <row r="1151" spans="1:46" x14ac:dyDescent="0.15">
      <c r="A1151" s="2" t="s">
        <v>202</v>
      </c>
      <c r="B1151" s="2" t="s">
        <v>3936</v>
      </c>
      <c r="C1151" s="2" t="s">
        <v>937</v>
      </c>
      <c r="D1151" s="2" t="s">
        <v>4474</v>
      </c>
      <c r="E1151" s="1"/>
      <c r="F1151" s="2" t="s">
        <v>374</v>
      </c>
      <c r="G1151" s="2" t="s">
        <v>374</v>
      </c>
      <c r="H1151" s="2" t="str">
        <f t="shared" si="43"/>
        <v>C</v>
      </c>
      <c r="I1151" s="5"/>
      <c r="J1151" s="5"/>
      <c r="K1151" s="5"/>
      <c r="L1151" s="5"/>
      <c r="M1151" s="2" t="s">
        <v>571</v>
      </c>
      <c r="N1151" s="5">
        <v>54</v>
      </c>
      <c r="O1151" s="5">
        <v>29</v>
      </c>
      <c r="P1151" s="5">
        <v>28</v>
      </c>
      <c r="Q1151" s="2" t="s">
        <v>18</v>
      </c>
      <c r="R1151" s="5"/>
      <c r="S1151" s="5"/>
      <c r="T1151" s="2" t="s">
        <v>637</v>
      </c>
      <c r="V1151" s="5"/>
      <c r="W1151" s="6" t="s">
        <v>3133</v>
      </c>
    </row>
    <row r="1152" spans="1:46" x14ac:dyDescent="0.15">
      <c r="A1152" s="2" t="s">
        <v>202</v>
      </c>
      <c r="B1152" s="2" t="s">
        <v>3936</v>
      </c>
      <c r="C1152" s="2" t="s">
        <v>937</v>
      </c>
      <c r="D1152" s="2" t="s">
        <v>735</v>
      </c>
      <c r="E1152" s="1"/>
      <c r="F1152" s="2" t="s">
        <v>203</v>
      </c>
      <c r="G1152" s="2">
        <v>4</v>
      </c>
      <c r="H1152" s="2" t="str">
        <f t="shared" si="43"/>
        <v>W</v>
      </c>
      <c r="I1152" s="5">
        <v>20</v>
      </c>
      <c r="J1152" s="5">
        <v>1339.3</v>
      </c>
      <c r="K1152" s="5"/>
      <c r="L1152" s="5">
        <v>3</v>
      </c>
      <c r="M1152" s="2" t="s">
        <v>571</v>
      </c>
      <c r="N1152" s="5">
        <v>56</v>
      </c>
      <c r="O1152" s="5">
        <v>29</v>
      </c>
      <c r="P1152" s="5">
        <v>29.7</v>
      </c>
      <c r="Q1152" s="2" t="s">
        <v>18</v>
      </c>
      <c r="R1152" s="5">
        <v>89.1</v>
      </c>
      <c r="S1152" s="5">
        <f>(R1152/J1152)*100</f>
        <v>6.6527290375569326</v>
      </c>
      <c r="V1152" s="5"/>
      <c r="W1152" s="6" t="s">
        <v>2417</v>
      </c>
    </row>
    <row r="1153" spans="1:23" x14ac:dyDescent="0.15">
      <c r="A1153" s="2" t="s">
        <v>202</v>
      </c>
      <c r="B1153" s="2" t="s">
        <v>3936</v>
      </c>
      <c r="C1153" s="2" t="s">
        <v>937</v>
      </c>
      <c r="D1153" s="2" t="s">
        <v>736</v>
      </c>
      <c r="E1153" s="1"/>
      <c r="F1153" s="2" t="s">
        <v>374</v>
      </c>
      <c r="H1153" s="2" t="s">
        <v>3887</v>
      </c>
      <c r="I1153" s="5"/>
      <c r="J1153" s="5"/>
      <c r="K1153" s="5"/>
      <c r="L1153" s="5"/>
      <c r="M1153" s="4" t="s">
        <v>571</v>
      </c>
      <c r="N1153" s="5"/>
      <c r="O1153" s="5"/>
      <c r="P1153" s="5"/>
      <c r="R1153" s="5"/>
      <c r="S1153" s="5"/>
      <c r="V1153" s="5"/>
      <c r="W1153" s="6" t="s">
        <v>838</v>
      </c>
    </row>
    <row r="1154" spans="1:23" x14ac:dyDescent="0.15">
      <c r="A1154" s="2" t="s">
        <v>202</v>
      </c>
      <c r="B1154" s="2" t="s">
        <v>3936</v>
      </c>
      <c r="C1154" s="2" t="s">
        <v>937</v>
      </c>
      <c r="D1154" s="2" t="s">
        <v>737</v>
      </c>
      <c r="E1154" s="1"/>
      <c r="F1154" s="2" t="s">
        <v>438</v>
      </c>
      <c r="H1154" s="2" t="s">
        <v>3887</v>
      </c>
      <c r="I1154" s="5">
        <v>19.690000000000001</v>
      </c>
      <c r="J1154" s="5">
        <f xml:space="preserve"> 0.0003111*(I1154*10)^2.821</f>
        <v>922.50170250244787</v>
      </c>
      <c r="K1154" s="5"/>
      <c r="L1154" s="7"/>
      <c r="M1154" s="4" t="s">
        <v>571</v>
      </c>
      <c r="N1154" s="5"/>
      <c r="O1154" s="5"/>
      <c r="P1154" s="5"/>
      <c r="R1154" s="5"/>
      <c r="S1154" s="5"/>
      <c r="T1154" s="9"/>
      <c r="U1154" s="9"/>
      <c r="V1154" s="5"/>
      <c r="W1154" s="6" t="s">
        <v>2434</v>
      </c>
    </row>
    <row r="1155" spans="1:23" x14ac:dyDescent="0.15">
      <c r="A1155" s="2" t="s">
        <v>202</v>
      </c>
      <c r="B1155" s="2" t="s">
        <v>3936</v>
      </c>
      <c r="C1155" s="2" t="s">
        <v>937</v>
      </c>
      <c r="D1155" s="2" t="s">
        <v>738</v>
      </c>
      <c r="E1155" s="1"/>
      <c r="F1155" s="2" t="s">
        <v>204</v>
      </c>
      <c r="H1155" s="2" t="s">
        <v>3887</v>
      </c>
      <c r="I1155" s="5"/>
      <c r="J1155" s="5"/>
      <c r="K1155" s="5"/>
      <c r="L1155" s="7">
        <f>MEDIAN(2,4)</f>
        <v>3</v>
      </c>
      <c r="M1155" s="4" t="s">
        <v>571</v>
      </c>
      <c r="N1155" s="5">
        <f>MEDIAN(52,57)</f>
        <v>54.5</v>
      </c>
      <c r="O1155" s="5">
        <f>MEDIAN(27,30)</f>
        <v>28.5</v>
      </c>
      <c r="P1155" s="5"/>
      <c r="R1155" s="5"/>
      <c r="S1155" s="5"/>
      <c r="V1155" s="5"/>
      <c r="W1155" s="6" t="s">
        <v>3259</v>
      </c>
    </row>
    <row r="1156" spans="1:23" x14ac:dyDescent="0.15">
      <c r="A1156" s="2" t="s">
        <v>202</v>
      </c>
      <c r="B1156" s="2" t="s">
        <v>3936</v>
      </c>
      <c r="C1156" s="2" t="s">
        <v>937</v>
      </c>
      <c r="D1156" s="2" t="s">
        <v>739</v>
      </c>
      <c r="E1156" s="1"/>
      <c r="F1156" s="2" t="s">
        <v>3121</v>
      </c>
      <c r="G1156" s="2" t="s">
        <v>3121</v>
      </c>
      <c r="H1156" s="2" t="str">
        <f t="shared" si="43"/>
        <v>W</v>
      </c>
      <c r="I1156" s="5"/>
      <c r="J1156" s="5"/>
      <c r="K1156" s="5"/>
      <c r="L1156" s="7">
        <f>MEDIAN(2,4)</f>
        <v>3</v>
      </c>
      <c r="M1156" s="4" t="s">
        <v>571</v>
      </c>
      <c r="N1156" s="5">
        <v>55</v>
      </c>
      <c r="O1156" s="5">
        <v>30</v>
      </c>
      <c r="P1156" s="5">
        <v>28.11</v>
      </c>
      <c r="Q1156" s="2" t="s">
        <v>376</v>
      </c>
      <c r="R1156" s="5">
        <f>P1156*L1156</f>
        <v>84.33</v>
      </c>
      <c r="S1156" s="5"/>
      <c r="V1156" s="5"/>
      <c r="W1156" s="6" t="s">
        <v>3267</v>
      </c>
    </row>
    <row r="1157" spans="1:23" x14ac:dyDescent="0.15">
      <c r="A1157" s="2" t="s">
        <v>202</v>
      </c>
      <c r="B1157" s="2" t="s">
        <v>3936</v>
      </c>
      <c r="C1157" s="2" t="s">
        <v>937</v>
      </c>
      <c r="D1157" s="2" t="s">
        <v>739</v>
      </c>
      <c r="E1157" s="1"/>
      <c r="F1157" s="2" t="s">
        <v>868</v>
      </c>
      <c r="H1157" s="2" t="s">
        <v>3887</v>
      </c>
      <c r="I1157" s="5">
        <v>20.51</v>
      </c>
      <c r="J1157" s="5">
        <f xml:space="preserve"> 0.0003111*(I1157*10)^2.821</f>
        <v>1035.0352458958555</v>
      </c>
      <c r="K1157" s="5"/>
      <c r="L1157" s="7"/>
      <c r="M1157" s="4" t="s">
        <v>571</v>
      </c>
      <c r="N1157" s="5"/>
      <c r="O1157" s="5"/>
      <c r="P1157" s="5"/>
      <c r="R1157" s="5"/>
      <c r="S1157" s="5"/>
      <c r="T1157" s="9"/>
      <c r="U1157" s="9"/>
      <c r="V1157" s="5"/>
      <c r="W1157" s="6" t="s">
        <v>2434</v>
      </c>
    </row>
    <row r="1158" spans="1:23" x14ac:dyDescent="0.15">
      <c r="A1158" s="2" t="s">
        <v>202</v>
      </c>
      <c r="B1158" s="2" t="s">
        <v>3936</v>
      </c>
      <c r="C1158" s="2" t="s">
        <v>937</v>
      </c>
      <c r="D1158" s="2" t="s">
        <v>739</v>
      </c>
      <c r="E1158" s="1"/>
      <c r="F1158" s="2" t="s">
        <v>374</v>
      </c>
      <c r="G1158" s="2">
        <v>15</v>
      </c>
      <c r="H1158" s="2" t="str">
        <f t="shared" si="43"/>
        <v>W</v>
      </c>
      <c r="I1158" s="5">
        <v>20</v>
      </c>
      <c r="J1158" s="5">
        <f xml:space="preserve"> 0.0003111*(I1158*10)^2.821</f>
        <v>964.06347412541436</v>
      </c>
      <c r="K1158" s="5"/>
      <c r="L1158" s="5">
        <v>4</v>
      </c>
      <c r="M1158" s="4" t="s">
        <v>571</v>
      </c>
      <c r="N1158" s="5">
        <v>61</v>
      </c>
      <c r="O1158" s="5">
        <v>24</v>
      </c>
      <c r="P1158" s="5">
        <f xml:space="preserve"> 0.635*N1158 + 1.71*O1158 - 55.5</f>
        <v>24.275000000000006</v>
      </c>
      <c r="Q1158" s="2" t="s">
        <v>376</v>
      </c>
      <c r="R1158" s="5">
        <f>P1158*L1158</f>
        <v>97.100000000000023</v>
      </c>
      <c r="S1158" s="5">
        <f>(R1158/J1158)*100</f>
        <v>10.07195092502471</v>
      </c>
      <c r="V1158" s="5"/>
      <c r="W1158" s="6" t="s">
        <v>3883</v>
      </c>
    </row>
    <row r="1159" spans="1:23" x14ac:dyDescent="0.15">
      <c r="A1159" s="2" t="s">
        <v>202</v>
      </c>
      <c r="B1159" s="2" t="s">
        <v>3936</v>
      </c>
      <c r="C1159" s="2" t="s">
        <v>937</v>
      </c>
      <c r="D1159" s="2" t="s">
        <v>739</v>
      </c>
      <c r="E1159" s="1"/>
      <c r="F1159" s="2" t="s">
        <v>374</v>
      </c>
      <c r="G1159" s="2" t="s">
        <v>374</v>
      </c>
      <c r="H1159" s="2" t="str">
        <f t="shared" si="43"/>
        <v>C</v>
      </c>
      <c r="I1159" s="5"/>
      <c r="J1159" s="5"/>
      <c r="K1159" s="5"/>
      <c r="L1159" s="7">
        <v>3</v>
      </c>
      <c r="M1159" s="4" t="s">
        <v>571</v>
      </c>
      <c r="N1159" s="5">
        <v>56.5</v>
      </c>
      <c r="O1159" s="5">
        <v>29</v>
      </c>
      <c r="P1159" s="5">
        <v>29.97</v>
      </c>
      <c r="Q1159" s="2" t="s">
        <v>376</v>
      </c>
      <c r="R1159" s="5">
        <f>P1159*L1159</f>
        <v>89.91</v>
      </c>
      <c r="S1159" s="5"/>
      <c r="T1159" s="2">
        <v>2</v>
      </c>
      <c r="U1159" s="2" t="str">
        <f>IF(T1159&lt;=1, "1",IF(AND(T1159&gt;1,T1159&lt;4), "2-3", "+4"))</f>
        <v>2-3</v>
      </c>
      <c r="V1159" s="5"/>
      <c r="W1159" s="6" t="s">
        <v>3884</v>
      </c>
    </row>
    <row r="1160" spans="1:23" x14ac:dyDescent="0.15">
      <c r="A1160" s="2" t="s">
        <v>202</v>
      </c>
      <c r="B1160" s="2" t="s">
        <v>3936</v>
      </c>
      <c r="C1160" s="2" t="s">
        <v>937</v>
      </c>
      <c r="D1160" s="2" t="s">
        <v>740</v>
      </c>
      <c r="E1160" s="1"/>
      <c r="F1160" s="2" t="s">
        <v>910</v>
      </c>
      <c r="G1160" s="2">
        <v>18.899999999999999</v>
      </c>
      <c r="H1160" s="2" t="str">
        <f t="shared" si="43"/>
        <v>W</v>
      </c>
      <c r="I1160" s="5">
        <v>20</v>
      </c>
      <c r="J1160" s="5">
        <f xml:space="preserve"> 0.0003111*(I1160*10)^2.821</f>
        <v>964.06347412541436</v>
      </c>
      <c r="K1160" s="5"/>
      <c r="L1160" s="5"/>
      <c r="M1160" s="4" t="s">
        <v>571</v>
      </c>
      <c r="N1160" s="5"/>
      <c r="O1160" s="5"/>
      <c r="P1160" s="5"/>
      <c r="R1160" s="5"/>
      <c r="S1160" s="5"/>
      <c r="V1160" s="5"/>
      <c r="W1160" s="6" t="s">
        <v>2520</v>
      </c>
    </row>
    <row r="1161" spans="1:23" x14ac:dyDescent="0.15">
      <c r="A1161" s="2" t="s">
        <v>202</v>
      </c>
      <c r="B1161" s="2" t="s">
        <v>3936</v>
      </c>
      <c r="C1161" s="2" t="s">
        <v>937</v>
      </c>
      <c r="D1161" s="2" t="s">
        <v>740</v>
      </c>
      <c r="E1161" s="1"/>
      <c r="F1161" s="2" t="s">
        <v>374</v>
      </c>
      <c r="G1161" s="2" t="s">
        <v>374</v>
      </c>
      <c r="H1161" s="2" t="str">
        <f t="shared" si="43"/>
        <v>C</v>
      </c>
      <c r="I1161" s="5"/>
      <c r="J1161" s="5"/>
      <c r="K1161" s="5"/>
      <c r="L1161" s="7">
        <v>4</v>
      </c>
      <c r="M1161" s="4" t="s">
        <v>571</v>
      </c>
      <c r="N1161" s="5">
        <v>64</v>
      </c>
      <c r="O1161" s="5">
        <v>27</v>
      </c>
      <c r="P1161" s="5">
        <v>31.31</v>
      </c>
      <c r="Q1161" s="2" t="s">
        <v>376</v>
      </c>
      <c r="R1161" s="5">
        <f>P1161*L1161</f>
        <v>125.24</v>
      </c>
      <c r="S1161" s="5"/>
      <c r="V1161" s="5"/>
      <c r="W1161" s="6" t="s">
        <v>3628</v>
      </c>
    </row>
    <row r="1162" spans="1:23" x14ac:dyDescent="0.15">
      <c r="A1162" s="2" t="s">
        <v>202</v>
      </c>
      <c r="B1162" s="2" t="s">
        <v>3935</v>
      </c>
      <c r="C1162" s="2" t="s">
        <v>3494</v>
      </c>
      <c r="D1162" s="2" t="s">
        <v>741</v>
      </c>
      <c r="E1162" s="1"/>
      <c r="F1162" s="2" t="s">
        <v>374</v>
      </c>
      <c r="G1162" s="1" t="s">
        <v>374</v>
      </c>
      <c r="H1162" s="2" t="str">
        <f t="shared" si="43"/>
        <v>C</v>
      </c>
      <c r="I1162" s="5">
        <v>26.1</v>
      </c>
      <c r="J1162" s="5">
        <v>2332</v>
      </c>
      <c r="K1162" s="5"/>
      <c r="L1162" s="5">
        <v>18.5</v>
      </c>
      <c r="M1162" s="2" t="s">
        <v>571</v>
      </c>
      <c r="N1162" s="5"/>
      <c r="O1162" s="5"/>
      <c r="P1162" s="5"/>
      <c r="R1162" s="5"/>
      <c r="S1162" s="5"/>
      <c r="V1162" s="5"/>
      <c r="W1162" s="6" t="s">
        <v>2525</v>
      </c>
    </row>
    <row r="1163" spans="1:23" x14ac:dyDescent="0.15">
      <c r="A1163" s="2" t="s">
        <v>202</v>
      </c>
      <c r="B1163" s="2" t="s">
        <v>3935</v>
      </c>
      <c r="C1163" s="2" t="s">
        <v>3494</v>
      </c>
      <c r="D1163" s="2" t="s">
        <v>741</v>
      </c>
      <c r="E1163" s="1"/>
      <c r="F1163" s="2" t="s">
        <v>374</v>
      </c>
      <c r="G1163" s="2" t="s">
        <v>374</v>
      </c>
      <c r="H1163" s="2" t="str">
        <f t="shared" si="43"/>
        <v>C</v>
      </c>
      <c r="I1163" s="5">
        <v>26.1</v>
      </c>
      <c r="J1163" s="5">
        <v>2332</v>
      </c>
      <c r="K1163" s="5">
        <v>8</v>
      </c>
      <c r="L1163" s="7">
        <v>17</v>
      </c>
      <c r="M1163" s="2" t="s">
        <v>571</v>
      </c>
      <c r="N1163" s="7">
        <v>44</v>
      </c>
      <c r="O1163" s="5">
        <v>25</v>
      </c>
      <c r="P1163" s="5">
        <v>17</v>
      </c>
      <c r="Q1163" s="2" t="s">
        <v>18</v>
      </c>
      <c r="R1163" s="5">
        <v>289</v>
      </c>
      <c r="S1163" s="5">
        <v>12.39</v>
      </c>
      <c r="T1163" s="9">
        <v>1</v>
      </c>
      <c r="U1163" s="2" t="str">
        <f>IF(T1163&lt;=1, "1",IF(AND(T1163&gt;1,T1163&lt;4), "2-3", "+4"))</f>
        <v>1</v>
      </c>
      <c r="V1163" s="5">
        <f>S1163*T1163</f>
        <v>12.39</v>
      </c>
      <c r="W1163" s="6" t="s">
        <v>2208</v>
      </c>
    </row>
    <row r="1164" spans="1:23" x14ac:dyDescent="0.15">
      <c r="A1164" s="2" t="s">
        <v>202</v>
      </c>
      <c r="B1164" s="2" t="s">
        <v>3935</v>
      </c>
      <c r="C1164" s="2" t="s">
        <v>3494</v>
      </c>
      <c r="D1164" s="2" t="s">
        <v>741</v>
      </c>
      <c r="E1164" s="1"/>
      <c r="F1164" s="2" t="s">
        <v>204</v>
      </c>
      <c r="G1164" s="2">
        <v>27</v>
      </c>
      <c r="H1164" s="2" t="str">
        <f t="shared" si="43"/>
        <v>W</v>
      </c>
      <c r="I1164" s="5">
        <v>31.7</v>
      </c>
      <c r="J1164" s="5">
        <v>4250</v>
      </c>
      <c r="K1164" s="5"/>
      <c r="L1164" s="5">
        <v>15</v>
      </c>
      <c r="M1164" s="2" t="s">
        <v>571</v>
      </c>
      <c r="N1164" s="5"/>
      <c r="O1164" s="5"/>
      <c r="P1164" s="5">
        <v>17.2</v>
      </c>
      <c r="Q1164" s="2" t="s">
        <v>18</v>
      </c>
      <c r="R1164" s="5">
        <f>P1164*L1164</f>
        <v>258</v>
      </c>
      <c r="S1164" s="5">
        <f>(R1164/J1164)*100</f>
        <v>6.0705882352941183</v>
      </c>
      <c r="V1164" s="5"/>
      <c r="W1164" s="6" t="s">
        <v>2005</v>
      </c>
    </row>
    <row r="1165" spans="1:23" x14ac:dyDescent="0.15">
      <c r="A1165" s="2" t="s">
        <v>202</v>
      </c>
      <c r="B1165" s="2" t="s">
        <v>3935</v>
      </c>
      <c r="C1165" s="2" t="s">
        <v>3494</v>
      </c>
      <c r="D1165" s="2" t="s">
        <v>741</v>
      </c>
      <c r="E1165" s="1"/>
      <c r="F1165" s="2" t="s">
        <v>204</v>
      </c>
      <c r="G1165" s="2">
        <v>26.58</v>
      </c>
      <c r="H1165" s="2" t="str">
        <f t="shared" si="43"/>
        <v>W</v>
      </c>
      <c r="I1165" s="5">
        <v>32</v>
      </c>
      <c r="J1165" s="5">
        <v>4252.26</v>
      </c>
      <c r="K1165" s="5"/>
      <c r="L1165" s="5">
        <v>26</v>
      </c>
      <c r="M1165" s="2" t="s">
        <v>571</v>
      </c>
      <c r="N1165" s="5">
        <v>43.5</v>
      </c>
      <c r="O1165" s="5">
        <v>26</v>
      </c>
      <c r="P1165" s="5">
        <v>18</v>
      </c>
      <c r="Q1165" s="2" t="s">
        <v>18</v>
      </c>
      <c r="R1165" s="5">
        <v>468</v>
      </c>
      <c r="S1165" s="5">
        <f>(R1165/J1165)*100</f>
        <v>11.005912150244811</v>
      </c>
      <c r="T1165" s="2">
        <v>2</v>
      </c>
      <c r="U1165" s="2" t="str">
        <f>IF(T1165&lt;=1, "1",IF(AND(T1165&gt;1,T1165&lt;4), "2-3", "+4"))</f>
        <v>2-3</v>
      </c>
      <c r="V1165" s="5">
        <f>S1165*T1165</f>
        <v>22.011824300489621</v>
      </c>
      <c r="W1165" s="6" t="s">
        <v>2004</v>
      </c>
    </row>
    <row r="1166" spans="1:23" x14ac:dyDescent="0.15">
      <c r="A1166" s="1" t="s">
        <v>202</v>
      </c>
      <c r="B1166" s="2" t="s">
        <v>3935</v>
      </c>
      <c r="C1166" s="2" t="s">
        <v>3494</v>
      </c>
      <c r="D1166" s="1" t="s">
        <v>741</v>
      </c>
      <c r="E1166" s="1"/>
      <c r="F1166" s="1" t="s">
        <v>374</v>
      </c>
      <c r="G1166" s="1" t="s">
        <v>374</v>
      </c>
      <c r="H1166" s="2" t="str">
        <f t="shared" si="43"/>
        <v>C</v>
      </c>
      <c r="I1166" s="8"/>
      <c r="J1166" s="8"/>
      <c r="K1166" s="8"/>
      <c r="L1166" s="8">
        <v>14.6</v>
      </c>
      <c r="M1166" s="2" t="s">
        <v>571</v>
      </c>
      <c r="N1166" s="8">
        <v>40.83</v>
      </c>
      <c r="O1166" s="8">
        <v>23.33</v>
      </c>
      <c r="P1166" s="8">
        <v>13</v>
      </c>
      <c r="Q1166" s="1" t="s">
        <v>18</v>
      </c>
      <c r="R1166" s="8">
        <v>189.8</v>
      </c>
      <c r="S1166" s="8"/>
      <c r="T1166" s="1"/>
      <c r="U1166" s="1"/>
      <c r="V1166" s="8"/>
      <c r="W1166" s="6" t="s">
        <v>3607</v>
      </c>
    </row>
    <row r="1167" spans="1:23" x14ac:dyDescent="0.15">
      <c r="A1167" s="1" t="s">
        <v>202</v>
      </c>
      <c r="B1167" s="2" t="s">
        <v>3935</v>
      </c>
      <c r="C1167" s="2" t="s">
        <v>3494</v>
      </c>
      <c r="D1167" s="1" t="s">
        <v>741</v>
      </c>
      <c r="E1167" s="1"/>
      <c r="F1167" s="1" t="s">
        <v>374</v>
      </c>
      <c r="G1167" s="1" t="s">
        <v>374</v>
      </c>
      <c r="H1167" s="2" t="str">
        <f t="shared" si="43"/>
        <v>C</v>
      </c>
      <c r="I1167" s="8"/>
      <c r="J1167" s="8"/>
      <c r="K1167" s="8">
        <v>7</v>
      </c>
      <c r="L1167" s="8">
        <v>11</v>
      </c>
      <c r="M1167" s="2" t="s">
        <v>571</v>
      </c>
      <c r="N1167" s="8">
        <v>38.5</v>
      </c>
      <c r="O1167" s="8">
        <v>21.97</v>
      </c>
      <c r="P1167" s="8">
        <v>11.78</v>
      </c>
      <c r="Q1167" s="1" t="s">
        <v>18</v>
      </c>
      <c r="R1167" s="8">
        <v>129.58000000000001</v>
      </c>
      <c r="S1167" s="8"/>
      <c r="T1167" s="1"/>
      <c r="U1167" s="1"/>
      <c r="V1167" s="8"/>
      <c r="W1167" s="6" t="s">
        <v>3590</v>
      </c>
    </row>
    <row r="1168" spans="1:23" x14ac:dyDescent="0.15">
      <c r="A1168" s="2" t="s">
        <v>202</v>
      </c>
      <c r="B1168" s="2" t="s">
        <v>3935</v>
      </c>
      <c r="C1168" s="2" t="s">
        <v>3494</v>
      </c>
      <c r="D1168" s="2" t="s">
        <v>741</v>
      </c>
      <c r="E1168" s="1"/>
      <c r="F1168" s="2" t="s">
        <v>218</v>
      </c>
      <c r="G1168" s="2">
        <v>24</v>
      </c>
      <c r="H1168" s="2" t="str">
        <f t="shared" si="43"/>
        <v>W</v>
      </c>
      <c r="I1168" s="5">
        <v>30.14</v>
      </c>
      <c r="J1168" s="5">
        <v>3500</v>
      </c>
      <c r="K1168" s="5"/>
      <c r="L1168" s="7">
        <v>24</v>
      </c>
      <c r="M1168" s="2" t="s">
        <v>571</v>
      </c>
      <c r="N1168" s="7">
        <v>51.28</v>
      </c>
      <c r="O1168" s="7">
        <v>21.1</v>
      </c>
      <c r="P1168" s="7">
        <v>11.5</v>
      </c>
      <c r="Q1168" s="2" t="s">
        <v>18</v>
      </c>
      <c r="R1168" s="5">
        <v>276</v>
      </c>
      <c r="S1168" s="5">
        <v>7.89</v>
      </c>
      <c r="T1168" s="9">
        <v>2</v>
      </c>
      <c r="U1168" s="2" t="str">
        <f>IF(T1168&lt;=1, "1",IF(AND(T1168&gt;1,T1168&lt;4), "2-3", "+4"))</f>
        <v>2-3</v>
      </c>
      <c r="V1168" s="5">
        <f>S1168*T1168</f>
        <v>15.78</v>
      </c>
      <c r="W1168" s="6" t="s">
        <v>2536</v>
      </c>
    </row>
    <row r="1169" spans="1:24" x14ac:dyDescent="0.15">
      <c r="A1169" s="2" t="s">
        <v>202</v>
      </c>
      <c r="B1169" s="2" t="s">
        <v>3935</v>
      </c>
      <c r="C1169" s="2" t="s">
        <v>3494</v>
      </c>
      <c r="D1169" s="2" t="s">
        <v>741</v>
      </c>
      <c r="E1169" s="1"/>
      <c r="F1169" s="2" t="s">
        <v>374</v>
      </c>
      <c r="G1169" s="2" t="s">
        <v>374</v>
      </c>
      <c r="H1169" s="2" t="str">
        <f t="shared" si="43"/>
        <v>C</v>
      </c>
      <c r="I1169" s="5">
        <v>26.7</v>
      </c>
      <c r="J1169" s="5">
        <v>2493.56</v>
      </c>
      <c r="K1169" s="5"/>
      <c r="L1169" s="5">
        <v>18.5</v>
      </c>
      <c r="M1169" s="2" t="s">
        <v>571</v>
      </c>
      <c r="N1169" s="5">
        <v>34</v>
      </c>
      <c r="O1169" s="5"/>
      <c r="P1169" s="5">
        <v>13.3</v>
      </c>
      <c r="Q1169" s="2" t="s">
        <v>18</v>
      </c>
      <c r="R1169" s="5">
        <v>246.05</v>
      </c>
      <c r="S1169" s="5">
        <f>(R1169/J1169)*100</f>
        <v>9.8674184699786665</v>
      </c>
      <c r="V1169" s="5"/>
      <c r="W1169" s="6" t="s">
        <v>2537</v>
      </c>
    </row>
    <row r="1170" spans="1:24" x14ac:dyDescent="0.15">
      <c r="A1170" s="2" t="s">
        <v>202</v>
      </c>
      <c r="B1170" s="2" t="s">
        <v>3936</v>
      </c>
      <c r="C1170" s="2" t="s">
        <v>3495</v>
      </c>
      <c r="D1170" s="2" t="s">
        <v>742</v>
      </c>
      <c r="E1170" s="1"/>
      <c r="F1170" s="2" t="s">
        <v>374</v>
      </c>
      <c r="G1170" s="2" t="s">
        <v>374</v>
      </c>
      <c r="H1170" s="2" t="str">
        <f t="shared" si="43"/>
        <v>C</v>
      </c>
      <c r="I1170" s="5">
        <v>13.06</v>
      </c>
      <c r="J1170" s="5">
        <v>234.3</v>
      </c>
      <c r="K1170" s="5"/>
      <c r="L1170" s="5"/>
      <c r="M1170" s="2" t="s">
        <v>571</v>
      </c>
      <c r="N1170" s="5"/>
      <c r="O1170" s="5"/>
      <c r="P1170" s="5"/>
      <c r="R1170" s="5"/>
      <c r="S1170" s="5"/>
      <c r="V1170" s="5"/>
      <c r="W1170" s="6" t="s">
        <v>2272</v>
      </c>
    </row>
    <row r="1171" spans="1:24" ht="12.75" customHeight="1" x14ac:dyDescent="0.15">
      <c r="A1171" s="2" t="s">
        <v>202</v>
      </c>
      <c r="B1171" s="2" t="s">
        <v>3936</v>
      </c>
      <c r="C1171" s="2" t="s">
        <v>3495</v>
      </c>
      <c r="D1171" s="2" t="s">
        <v>742</v>
      </c>
      <c r="E1171" s="1"/>
      <c r="F1171" s="2" t="s">
        <v>217</v>
      </c>
      <c r="G1171" s="2">
        <v>26</v>
      </c>
      <c r="H1171" s="2" t="str">
        <f t="shared" si="43"/>
        <v>W</v>
      </c>
      <c r="I1171" s="5">
        <v>12.88</v>
      </c>
      <c r="J1171" s="5">
        <v>227.71</v>
      </c>
      <c r="K1171" s="5"/>
      <c r="L1171" s="5"/>
      <c r="M1171" s="2" t="s">
        <v>571</v>
      </c>
      <c r="N1171" s="5"/>
      <c r="O1171" s="5"/>
      <c r="P1171" s="5"/>
      <c r="R1171" s="5"/>
      <c r="S1171" s="5"/>
      <c r="V1171" s="5"/>
      <c r="W1171" s="6" t="s">
        <v>2538</v>
      </c>
    </row>
    <row r="1172" spans="1:24" ht="12.75" customHeight="1" x14ac:dyDescent="0.15">
      <c r="A1172" s="2" t="s">
        <v>202</v>
      </c>
      <c r="B1172" s="2" t="s">
        <v>3936</v>
      </c>
      <c r="C1172" s="2" t="s">
        <v>3495</v>
      </c>
      <c r="D1172" s="2" t="s">
        <v>742</v>
      </c>
      <c r="E1172" s="1"/>
      <c r="F1172" s="2" t="s">
        <v>374</v>
      </c>
      <c r="G1172" s="2">
        <v>27</v>
      </c>
      <c r="H1172" s="2" t="str">
        <f t="shared" si="43"/>
        <v>W</v>
      </c>
      <c r="I1172" s="5">
        <v>16.399999999999999</v>
      </c>
      <c r="J1172" s="5">
        <v>356.55</v>
      </c>
      <c r="K1172" s="5"/>
      <c r="L1172" s="5">
        <v>1</v>
      </c>
      <c r="M1172" s="2" t="s">
        <v>571</v>
      </c>
      <c r="N1172" s="5">
        <v>46.2</v>
      </c>
      <c r="O1172" s="5">
        <v>26.2</v>
      </c>
      <c r="P1172" s="5">
        <v>15.95</v>
      </c>
      <c r="Q1172" s="2" t="s">
        <v>18</v>
      </c>
      <c r="R1172" s="5">
        <f>P1172*L1172</f>
        <v>15.95</v>
      </c>
      <c r="S1172" s="5">
        <f>(R1172/J1172)*100</f>
        <v>4.4734258869723735</v>
      </c>
      <c r="V1172" s="5"/>
      <c r="W1172" s="6" t="s">
        <v>2006</v>
      </c>
    </row>
    <row r="1173" spans="1:24" ht="12.75" customHeight="1" x14ac:dyDescent="0.15">
      <c r="A1173" s="2" t="s">
        <v>202</v>
      </c>
      <c r="B1173" s="2" t="s">
        <v>3936</v>
      </c>
      <c r="C1173" s="2" t="s">
        <v>3495</v>
      </c>
      <c r="D1173" s="2" t="s">
        <v>742</v>
      </c>
      <c r="E1173" s="1"/>
      <c r="F1173" s="2" t="s">
        <v>374</v>
      </c>
      <c r="G1173" s="2" t="s">
        <v>374</v>
      </c>
      <c r="H1173" s="2" t="str">
        <f t="shared" si="43"/>
        <v>C</v>
      </c>
      <c r="I1173" s="5"/>
      <c r="J1173" s="5"/>
      <c r="K1173" s="5"/>
      <c r="L1173" s="7">
        <v>1</v>
      </c>
      <c r="M1173" s="2" t="s">
        <v>571</v>
      </c>
      <c r="N1173" s="5">
        <v>46.2</v>
      </c>
      <c r="O1173" s="5">
        <v>26.2</v>
      </c>
      <c r="P1173" s="5">
        <v>15.95</v>
      </c>
      <c r="Q1173" s="2" t="s">
        <v>18</v>
      </c>
      <c r="R1173" s="5">
        <v>15.95</v>
      </c>
      <c r="S1173" s="5"/>
      <c r="T1173" s="2">
        <v>2</v>
      </c>
      <c r="U1173" s="2" t="str">
        <f>IF(T1173&lt;=1, "1",IF(AND(T1173&gt;1,T1173&lt;4), "2-3", "+4"))</f>
        <v>2-3</v>
      </c>
      <c r="V1173" s="5"/>
      <c r="W1173" s="6" t="s">
        <v>2001</v>
      </c>
    </row>
    <row r="1174" spans="1:24" x14ac:dyDescent="0.15">
      <c r="A1174" s="2" t="s">
        <v>202</v>
      </c>
      <c r="B1174" s="2" t="s">
        <v>3936</v>
      </c>
      <c r="C1174" s="2" t="s">
        <v>3495</v>
      </c>
      <c r="D1174" s="2" t="s">
        <v>742</v>
      </c>
      <c r="E1174" s="1"/>
      <c r="F1174" s="2" t="s">
        <v>217</v>
      </c>
      <c r="G1174" s="2">
        <v>24.41</v>
      </c>
      <c r="H1174" s="2" t="str">
        <f t="shared" si="43"/>
        <v>W</v>
      </c>
      <c r="I1174" s="5"/>
      <c r="J1174" s="5"/>
      <c r="K1174" s="5"/>
      <c r="L1174" s="5">
        <v>1</v>
      </c>
      <c r="M1174" s="2" t="s">
        <v>571</v>
      </c>
      <c r="N1174" s="5">
        <v>46.2</v>
      </c>
      <c r="O1174" s="5">
        <v>26.2</v>
      </c>
      <c r="P1174" s="5">
        <v>15.95</v>
      </c>
      <c r="Q1174" s="2" t="s">
        <v>18</v>
      </c>
      <c r="R1174" s="5"/>
      <c r="S1174" s="5"/>
      <c r="V1174" s="5"/>
      <c r="W1174" s="6" t="s">
        <v>2539</v>
      </c>
    </row>
    <row r="1175" spans="1:24" x14ac:dyDescent="0.15">
      <c r="A1175" s="2" t="s">
        <v>202</v>
      </c>
      <c r="B1175" s="2" t="s">
        <v>3936</v>
      </c>
      <c r="C1175" s="2" t="s">
        <v>3495</v>
      </c>
      <c r="D1175" s="2" t="s">
        <v>506</v>
      </c>
      <c r="E1175" s="1"/>
      <c r="F1175" s="2" t="s">
        <v>374</v>
      </c>
      <c r="G1175" s="2" t="s">
        <v>374</v>
      </c>
      <c r="H1175" s="2" t="str">
        <f t="shared" si="43"/>
        <v>C</v>
      </c>
      <c r="I1175" s="5">
        <v>10.9</v>
      </c>
      <c r="J1175" s="5">
        <v>172</v>
      </c>
      <c r="K1175" s="5"/>
      <c r="L1175" s="5">
        <v>2</v>
      </c>
      <c r="M1175" s="2" t="s">
        <v>571</v>
      </c>
      <c r="N1175" s="5">
        <v>39</v>
      </c>
      <c r="O1175" s="5">
        <v>21</v>
      </c>
      <c r="P1175" s="5">
        <v>9</v>
      </c>
      <c r="Q1175" s="2" t="s">
        <v>18</v>
      </c>
      <c r="R1175" s="5">
        <v>18</v>
      </c>
      <c r="S1175" s="5">
        <v>10.47</v>
      </c>
      <c r="T1175" s="2">
        <v>2</v>
      </c>
      <c r="U1175" s="2" t="str">
        <f>IF(T1175&lt;=1, "1",IF(AND(T1175&gt;1,T1175&lt;4), "2-3", "+4"))</f>
        <v>2-3</v>
      </c>
      <c r="V1175" s="5">
        <f>S1175*T1175</f>
        <v>20.94</v>
      </c>
      <c r="W1175" s="6" t="s">
        <v>2784</v>
      </c>
    </row>
    <row r="1176" spans="1:24" x14ac:dyDescent="0.15">
      <c r="A1176" s="2" t="s">
        <v>202</v>
      </c>
      <c r="B1176" s="2" t="s">
        <v>3936</v>
      </c>
      <c r="C1176" s="2" t="s">
        <v>3495</v>
      </c>
      <c r="D1176" s="2" t="s">
        <v>506</v>
      </c>
      <c r="E1176" s="1"/>
      <c r="F1176" s="2" t="s">
        <v>2435</v>
      </c>
      <c r="G1176" s="2" t="s">
        <v>374</v>
      </c>
      <c r="H1176" s="2" t="str">
        <f t="shared" si="43"/>
        <v>C</v>
      </c>
      <c r="I1176" s="5">
        <v>11.3</v>
      </c>
      <c r="J1176" s="5">
        <v>161.80000000000001</v>
      </c>
      <c r="K1176" s="5"/>
      <c r="L1176" s="5">
        <v>1.27</v>
      </c>
      <c r="M1176" s="2" t="s">
        <v>571</v>
      </c>
      <c r="N1176" s="5">
        <v>43.75</v>
      </c>
      <c r="O1176" s="5">
        <v>19.75</v>
      </c>
      <c r="P1176" s="5">
        <v>10.6</v>
      </c>
      <c r="Q1176" s="2" t="s">
        <v>18</v>
      </c>
      <c r="R1176" s="5">
        <v>13.49</v>
      </c>
      <c r="S1176" s="5">
        <v>8.34</v>
      </c>
      <c r="T1176" s="7">
        <f>MEDIAN(1,2)</f>
        <v>1.5</v>
      </c>
      <c r="U1176" s="2" t="str">
        <f>IF(T1176&lt;=1, "1",IF(AND(T1176&gt;1,T1176&lt;4), "2-3", "+4"))</f>
        <v>2-3</v>
      </c>
      <c r="V1176" s="5">
        <f>S1176*T1176</f>
        <v>12.51</v>
      </c>
      <c r="W1176" s="6" t="s">
        <v>2787</v>
      </c>
    </row>
    <row r="1177" spans="1:24" ht="12.75" customHeight="1" x14ac:dyDescent="0.15">
      <c r="A1177" s="2" t="s">
        <v>202</v>
      </c>
      <c r="B1177" s="2" t="s">
        <v>3936</v>
      </c>
      <c r="C1177" s="2" t="s">
        <v>3495</v>
      </c>
      <c r="D1177" s="2" t="s">
        <v>506</v>
      </c>
      <c r="E1177" s="1"/>
      <c r="F1177" s="2" t="s">
        <v>374</v>
      </c>
      <c r="G1177" s="2" t="s">
        <v>374</v>
      </c>
      <c r="H1177" s="2" t="str">
        <f t="shared" si="43"/>
        <v>C</v>
      </c>
      <c r="I1177" s="5"/>
      <c r="J1177" s="5"/>
      <c r="K1177" s="5"/>
      <c r="L1177" s="5"/>
      <c r="M1177" s="2" t="s">
        <v>571</v>
      </c>
      <c r="N1177" s="5">
        <v>39</v>
      </c>
      <c r="O1177" s="5">
        <v>18.5</v>
      </c>
      <c r="P1177" s="5">
        <f xml:space="preserve"> 0.229*N1177 + 0.832*O1177 - 16.064</f>
        <v>8.2590000000000003</v>
      </c>
      <c r="Q1177" s="2" t="s">
        <v>376</v>
      </c>
      <c r="R1177" s="5"/>
      <c r="S1177" s="5"/>
      <c r="V1177" s="5"/>
      <c r="W1177" s="6" t="s">
        <v>2540</v>
      </c>
    </row>
    <row r="1178" spans="1:24" x14ac:dyDescent="0.15">
      <c r="A1178" s="2" t="s">
        <v>202</v>
      </c>
      <c r="B1178" s="2" t="s">
        <v>3936</v>
      </c>
      <c r="C1178" s="2" t="s">
        <v>3495</v>
      </c>
      <c r="D1178" s="2" t="s">
        <v>506</v>
      </c>
      <c r="E1178" s="1"/>
      <c r="F1178" s="2" t="s">
        <v>374</v>
      </c>
      <c r="G1178" s="2" t="s">
        <v>374</v>
      </c>
      <c r="H1178" s="2" t="str">
        <f t="shared" si="43"/>
        <v>C</v>
      </c>
      <c r="I1178" s="5"/>
      <c r="J1178" s="5"/>
      <c r="K1178" s="7"/>
      <c r="L1178" s="5"/>
      <c r="M1178" s="2" t="s">
        <v>571</v>
      </c>
      <c r="N1178" s="5">
        <v>39</v>
      </c>
      <c r="O1178" s="5">
        <v>18.5</v>
      </c>
      <c r="P1178" s="5">
        <f xml:space="preserve"> 0.229*N1178 + 0.832*O1178 - 16.064</f>
        <v>8.2590000000000003</v>
      </c>
      <c r="Q1178" s="2" t="s">
        <v>376</v>
      </c>
      <c r="R1178" s="5"/>
      <c r="S1178" s="5"/>
      <c r="V1178" s="5"/>
      <c r="W1178" s="6" t="s">
        <v>2540</v>
      </c>
    </row>
    <row r="1179" spans="1:24" x14ac:dyDescent="0.15">
      <c r="A1179" s="2" t="s">
        <v>202</v>
      </c>
      <c r="B1179" s="2" t="s">
        <v>3936</v>
      </c>
      <c r="C1179" s="2" t="s">
        <v>3495</v>
      </c>
      <c r="D1179" s="1" t="s">
        <v>506</v>
      </c>
      <c r="E1179" s="1"/>
      <c r="F1179" s="1" t="s">
        <v>374</v>
      </c>
      <c r="G1179" s="1" t="s">
        <v>374</v>
      </c>
      <c r="H1179" s="2" t="str">
        <f t="shared" si="43"/>
        <v>C</v>
      </c>
      <c r="I1179" s="8"/>
      <c r="J1179" s="8"/>
      <c r="K1179" s="8"/>
      <c r="L1179" s="8">
        <v>1</v>
      </c>
      <c r="M1179" s="1" t="s">
        <v>571</v>
      </c>
      <c r="N1179" s="8">
        <v>40</v>
      </c>
      <c r="O1179" s="8">
        <v>20</v>
      </c>
      <c r="P1179" s="8">
        <v>9.7360000000000007</v>
      </c>
      <c r="Q1179" s="1" t="s">
        <v>376</v>
      </c>
      <c r="R1179" s="8">
        <v>9.7360000000000007</v>
      </c>
      <c r="S1179" s="8"/>
      <c r="T1179" s="27" t="s">
        <v>431</v>
      </c>
      <c r="U1179" s="27"/>
      <c r="V1179" s="8"/>
      <c r="W1179" s="6" t="s">
        <v>3951</v>
      </c>
      <c r="X1179" s="1"/>
    </row>
    <row r="1180" spans="1:24" x14ac:dyDescent="0.15">
      <c r="A1180" s="2" t="s">
        <v>202</v>
      </c>
      <c r="B1180" s="2" t="s">
        <v>3936</v>
      </c>
      <c r="C1180" s="2" t="s">
        <v>3495</v>
      </c>
      <c r="D1180" s="2" t="s">
        <v>506</v>
      </c>
      <c r="E1180" s="1"/>
      <c r="F1180" s="2" t="s">
        <v>374</v>
      </c>
      <c r="G1180" s="2" t="s">
        <v>374</v>
      </c>
      <c r="H1180" s="2" t="str">
        <f t="shared" si="43"/>
        <v>C</v>
      </c>
      <c r="I1180" s="5">
        <v>11.5</v>
      </c>
      <c r="J1180" s="5">
        <v>180</v>
      </c>
      <c r="K1180" s="5"/>
      <c r="L1180" s="5">
        <v>1</v>
      </c>
      <c r="M1180" s="2" t="s">
        <v>571</v>
      </c>
      <c r="N1180" s="5">
        <v>39</v>
      </c>
      <c r="O1180" s="5">
        <v>19</v>
      </c>
      <c r="P1180" s="5">
        <f xml:space="preserve"> 0.229*N1180 + 0.832*O1180 - 16.064</f>
        <v>8.6750000000000007</v>
      </c>
      <c r="Q1180" s="2" t="s">
        <v>376</v>
      </c>
      <c r="R1180" s="5">
        <v>8.6750000000000007</v>
      </c>
      <c r="S1180" s="5">
        <v>4.82</v>
      </c>
      <c r="V1180" s="5"/>
      <c r="W1180" s="6" t="s">
        <v>2788</v>
      </c>
    </row>
    <row r="1181" spans="1:24" x14ac:dyDescent="0.15">
      <c r="A1181" s="2" t="s">
        <v>202</v>
      </c>
      <c r="B1181" s="2" t="s">
        <v>3936</v>
      </c>
      <c r="C1181" s="2" t="s">
        <v>3495</v>
      </c>
      <c r="D1181" s="2" t="s">
        <v>506</v>
      </c>
      <c r="E1181" s="1"/>
      <c r="F1181" s="2" t="s">
        <v>374</v>
      </c>
      <c r="G1181" s="2" t="s">
        <v>374</v>
      </c>
      <c r="H1181" s="2" t="str">
        <f t="shared" si="43"/>
        <v>C</v>
      </c>
      <c r="I1181" s="5">
        <f>EXP((LN(J1181/0.0003588))/2.7564)/10</f>
        <v>11.456745633874114</v>
      </c>
      <c r="J1181" s="5">
        <v>170</v>
      </c>
      <c r="K1181" s="5"/>
      <c r="L1181" s="7">
        <f>MEDIAN(1,2)</f>
        <v>1.5</v>
      </c>
      <c r="M1181" s="2" t="s">
        <v>571</v>
      </c>
      <c r="N1181" s="5"/>
      <c r="O1181" s="5"/>
      <c r="P1181" s="5"/>
      <c r="R1181" s="5"/>
      <c r="S1181" s="5"/>
      <c r="V1181" s="5"/>
      <c r="W1181" s="6" t="s">
        <v>2786</v>
      </c>
    </row>
    <row r="1182" spans="1:24" x14ac:dyDescent="0.15">
      <c r="A1182" s="2" t="s">
        <v>202</v>
      </c>
      <c r="B1182" s="2" t="s">
        <v>3936</v>
      </c>
      <c r="C1182" s="2" t="s">
        <v>3495</v>
      </c>
      <c r="D1182" s="2" t="s">
        <v>506</v>
      </c>
      <c r="E1182" s="1"/>
      <c r="F1182" s="2" t="s">
        <v>374</v>
      </c>
      <c r="G1182" s="2" t="s">
        <v>374</v>
      </c>
      <c r="H1182" s="2" t="str">
        <f t="shared" si="43"/>
        <v>C</v>
      </c>
      <c r="I1182" s="5">
        <v>10.1</v>
      </c>
      <c r="J1182" s="5">
        <f xml:space="preserve"> 0.0003588*(I1182*10)^2.7564</f>
        <v>120.10576923282061</v>
      </c>
      <c r="K1182" s="5"/>
      <c r="L1182" s="5">
        <v>1</v>
      </c>
      <c r="M1182" s="2" t="s">
        <v>571</v>
      </c>
      <c r="N1182" s="5">
        <v>42</v>
      </c>
      <c r="O1182" s="5">
        <v>18</v>
      </c>
      <c r="P1182" s="5">
        <v>8.1999999999999993</v>
      </c>
      <c r="Q1182" s="2" t="s">
        <v>18</v>
      </c>
      <c r="R1182" s="5">
        <v>8.1999999999999993</v>
      </c>
      <c r="S1182" s="5">
        <f>(R1182/J1182)*100</f>
        <v>6.8273156671638331</v>
      </c>
      <c r="T1182" s="2">
        <v>3</v>
      </c>
      <c r="U1182" s="2" t="str">
        <f>IF(T1182&lt;=1, "1",IF(AND(T1182&gt;1,T1182&lt;4), "2-3", "+4"))</f>
        <v>2-3</v>
      </c>
      <c r="V1182" s="5">
        <f>S1182*T1182</f>
        <v>20.481947001491498</v>
      </c>
      <c r="W1182" s="6" t="s">
        <v>3567</v>
      </c>
    </row>
    <row r="1183" spans="1:24" x14ac:dyDescent="0.15">
      <c r="A1183" s="2" t="s">
        <v>202</v>
      </c>
      <c r="B1183" s="2" t="s">
        <v>3936</v>
      </c>
      <c r="C1183" s="2" t="s">
        <v>3495</v>
      </c>
      <c r="D1183" s="2" t="s">
        <v>506</v>
      </c>
      <c r="E1183" s="1"/>
      <c r="F1183" s="2" t="s">
        <v>374</v>
      </c>
      <c r="G1183" s="2" t="s">
        <v>374</v>
      </c>
      <c r="H1183" s="2" t="str">
        <f t="shared" si="43"/>
        <v>C</v>
      </c>
      <c r="I1183" s="5"/>
      <c r="J1183" s="5"/>
      <c r="K1183" s="5"/>
      <c r="L1183" s="7">
        <f>MEDIAN(1,2)</f>
        <v>1.5</v>
      </c>
      <c r="M1183" s="2" t="s">
        <v>571</v>
      </c>
      <c r="N1183" s="5">
        <v>42</v>
      </c>
      <c r="O1183" s="5">
        <v>18</v>
      </c>
      <c r="P1183" s="5">
        <v>8.1999999999999993</v>
      </c>
      <c r="Q1183" s="2" t="s">
        <v>18</v>
      </c>
      <c r="R1183" s="5">
        <f>P1183*L1183</f>
        <v>12.299999999999999</v>
      </c>
      <c r="S1183" s="5"/>
      <c r="T1183" s="2">
        <v>3</v>
      </c>
      <c r="U1183" s="2" t="str">
        <f>IF(T1183&lt;=1, "1",IF(AND(T1183&gt;1,T1183&lt;4), "2-3", "+4"))</f>
        <v>2-3</v>
      </c>
      <c r="V1183" s="5"/>
      <c r="W1183" s="6" t="s">
        <v>2001</v>
      </c>
    </row>
    <row r="1184" spans="1:24" x14ac:dyDescent="0.15">
      <c r="A1184" s="2" t="s">
        <v>202</v>
      </c>
      <c r="B1184" s="2" t="s">
        <v>3935</v>
      </c>
      <c r="C1184" s="2" t="s">
        <v>3496</v>
      </c>
      <c r="D1184" s="2" t="s">
        <v>743</v>
      </c>
      <c r="E1184" s="1"/>
      <c r="F1184" s="2" t="s">
        <v>211</v>
      </c>
      <c r="G1184" s="2">
        <v>26</v>
      </c>
      <c r="H1184" s="2" t="str">
        <f t="shared" si="43"/>
        <v>W</v>
      </c>
      <c r="I1184" s="5">
        <f>AVERAGE(350,412,384,400,410,485)/10</f>
        <v>40.68333333333333</v>
      </c>
      <c r="J1184" s="5">
        <f>AVERAGE(5.2,7.7,8,8.9,9,14.4)*1000</f>
        <v>8866.6666666666661</v>
      </c>
      <c r="K1184" s="5"/>
      <c r="L1184" s="5">
        <f>AVERAGE(8,11,15,13,8,15)</f>
        <v>11.666666666666666</v>
      </c>
      <c r="M1184" s="2" t="s">
        <v>571</v>
      </c>
      <c r="N1184" s="5">
        <f>AVERAGE(44.8,54.6,55.8,48.6,51.3,53.8)</f>
        <v>51.483333333333327</v>
      </c>
      <c r="O1184" s="5">
        <f>AVERAGE(28.2,33.3,32.7,28.7,35.3,35.9)</f>
        <v>32.35</v>
      </c>
      <c r="P1184" s="5">
        <f>AVERAGE(21.3,36.3,35.3,24.3,39.1,40.6)</f>
        <v>32.816666666666663</v>
      </c>
      <c r="Q1184" s="2" t="s">
        <v>18</v>
      </c>
      <c r="R1184" s="5">
        <f>P1184*L1184</f>
        <v>382.86111111111103</v>
      </c>
      <c r="S1184" s="5">
        <f>(R1184/J1184)*100</f>
        <v>4.3179824561403501</v>
      </c>
      <c r="V1184" s="5"/>
      <c r="W1184" s="6" t="s">
        <v>2008</v>
      </c>
    </row>
    <row r="1185" spans="1:23" x14ac:dyDescent="0.15">
      <c r="A1185" s="2" t="s">
        <v>202</v>
      </c>
      <c r="B1185" s="2" t="s">
        <v>3935</v>
      </c>
      <c r="C1185" s="2" t="s">
        <v>3496</v>
      </c>
      <c r="D1185" s="2" t="s">
        <v>743</v>
      </c>
      <c r="E1185" s="1"/>
      <c r="F1185" s="2" t="s">
        <v>204</v>
      </c>
      <c r="G1185" s="2">
        <v>24</v>
      </c>
      <c r="H1185" s="2" t="str">
        <f t="shared" si="43"/>
        <v>W</v>
      </c>
      <c r="I1185" s="5"/>
      <c r="J1185" s="5"/>
      <c r="K1185" s="5"/>
      <c r="L1185" s="5">
        <v>19</v>
      </c>
      <c r="M1185" s="2" t="s">
        <v>571</v>
      </c>
      <c r="N1185" s="5">
        <v>51</v>
      </c>
      <c r="O1185" s="5">
        <v>34</v>
      </c>
      <c r="P1185" s="5">
        <v>20</v>
      </c>
      <c r="Q1185" s="2" t="s">
        <v>18</v>
      </c>
      <c r="R1185" s="5">
        <f>P1185*L1185</f>
        <v>380</v>
      </c>
      <c r="S1185" s="5"/>
      <c r="V1185" s="5"/>
      <c r="W1185" s="6" t="s">
        <v>2007</v>
      </c>
    </row>
    <row r="1186" spans="1:23" x14ac:dyDescent="0.15">
      <c r="A1186" s="2" t="s">
        <v>202</v>
      </c>
      <c r="B1186" s="2" t="s">
        <v>3935</v>
      </c>
      <c r="C1186" s="2" t="s">
        <v>3496</v>
      </c>
      <c r="D1186" s="2" t="s">
        <v>743</v>
      </c>
      <c r="E1186" s="1"/>
      <c r="F1186" s="2" t="s">
        <v>218</v>
      </c>
      <c r="G1186" s="2">
        <v>24</v>
      </c>
      <c r="H1186" s="2" t="str">
        <f t="shared" si="43"/>
        <v>W</v>
      </c>
      <c r="I1186" s="5">
        <v>36.21</v>
      </c>
      <c r="J1186" s="5">
        <v>6246</v>
      </c>
      <c r="K1186" s="5"/>
      <c r="L1186" s="7">
        <v>14</v>
      </c>
      <c r="M1186" s="2" t="s">
        <v>571</v>
      </c>
      <c r="N1186" s="5">
        <v>57.9</v>
      </c>
      <c r="O1186" s="5">
        <v>34.1</v>
      </c>
      <c r="P1186" s="5">
        <v>45.2</v>
      </c>
      <c r="Q1186" s="2" t="s">
        <v>18</v>
      </c>
      <c r="R1186" s="5">
        <v>632.79999999999995</v>
      </c>
      <c r="S1186" s="5">
        <v>10.130000000000001</v>
      </c>
      <c r="T1186" s="2">
        <v>1</v>
      </c>
      <c r="U1186" s="2" t="str">
        <f>IF(T1186&lt;=1, "1",IF(AND(T1186&gt;1,T1186&lt;4), "2-3", "+4"))</f>
        <v>1</v>
      </c>
      <c r="V1186" s="5">
        <f>S1186*T1186</f>
        <v>10.130000000000001</v>
      </c>
      <c r="W1186" s="6" t="s">
        <v>2536</v>
      </c>
    </row>
    <row r="1187" spans="1:23" x14ac:dyDescent="0.15">
      <c r="A1187" s="2" t="s">
        <v>202</v>
      </c>
      <c r="B1187" s="2" t="s">
        <v>3935</v>
      </c>
      <c r="C1187" s="2" t="s">
        <v>3496</v>
      </c>
      <c r="D1187" s="2" t="s">
        <v>743</v>
      </c>
      <c r="E1187" s="1"/>
      <c r="F1187" s="2" t="s">
        <v>204</v>
      </c>
      <c r="G1187" s="2">
        <v>29.5</v>
      </c>
      <c r="H1187" s="2" t="s">
        <v>3887</v>
      </c>
      <c r="I1187" s="5"/>
      <c r="J1187" s="5">
        <v>10800</v>
      </c>
      <c r="K1187" s="5"/>
      <c r="L1187" s="7">
        <v>12.96</v>
      </c>
      <c r="M1187" s="2" t="s">
        <v>571</v>
      </c>
      <c r="N1187" s="5">
        <v>52.23</v>
      </c>
      <c r="O1187" s="5">
        <v>34.869999999999997</v>
      </c>
      <c r="P1187" s="5">
        <v>36.6</v>
      </c>
      <c r="Q1187" s="2" t="s">
        <v>18</v>
      </c>
      <c r="R1187" s="5">
        <v>474.34</v>
      </c>
      <c r="S1187" s="5">
        <v>4.3899999999999997</v>
      </c>
      <c r="T1187" s="2">
        <v>1</v>
      </c>
      <c r="U1187" s="2">
        <v>1</v>
      </c>
      <c r="V1187" s="5">
        <v>4.3899999999999997</v>
      </c>
      <c r="W1187" s="6" t="s">
        <v>5155</v>
      </c>
    </row>
    <row r="1188" spans="1:23" x14ac:dyDescent="0.15">
      <c r="A1188" s="2" t="s">
        <v>202</v>
      </c>
      <c r="B1188" s="2" t="s">
        <v>3936</v>
      </c>
      <c r="C1188" s="2" t="s">
        <v>940</v>
      </c>
      <c r="D1188" s="2" t="s">
        <v>744</v>
      </c>
      <c r="E1188" s="1"/>
      <c r="F1188" s="2" t="s">
        <v>371</v>
      </c>
      <c r="G1188" s="2">
        <v>24</v>
      </c>
      <c r="H1188" s="2" t="str">
        <f t="shared" si="43"/>
        <v>W</v>
      </c>
      <c r="I1188" s="5"/>
      <c r="J1188" s="5"/>
      <c r="K1188" s="5"/>
      <c r="L1188" s="5">
        <v>4</v>
      </c>
      <c r="M1188" s="2" t="s">
        <v>571</v>
      </c>
      <c r="N1188" s="5"/>
      <c r="O1188" s="5"/>
      <c r="P1188" s="5"/>
      <c r="R1188" s="5"/>
      <c r="S1188" s="5"/>
      <c r="V1188" s="5"/>
      <c r="W1188" s="6" t="s">
        <v>1938</v>
      </c>
    </row>
    <row r="1189" spans="1:23" x14ac:dyDescent="0.15">
      <c r="A1189" s="2" t="s">
        <v>202</v>
      </c>
      <c r="B1189" s="2" t="s">
        <v>3936</v>
      </c>
      <c r="C1189" s="2" t="s">
        <v>940</v>
      </c>
      <c r="D1189" s="2" t="s">
        <v>744</v>
      </c>
      <c r="E1189" s="1"/>
      <c r="F1189" s="2" t="s">
        <v>2433</v>
      </c>
      <c r="G1189" s="2">
        <v>12.9</v>
      </c>
      <c r="H1189" s="2" t="str">
        <f t="shared" si="43"/>
        <v>W</v>
      </c>
      <c r="I1189" s="5">
        <v>36.4</v>
      </c>
      <c r="J1189" s="5"/>
      <c r="K1189" s="5"/>
      <c r="L1189" s="5"/>
      <c r="M1189" s="2" t="s">
        <v>571</v>
      </c>
      <c r="N1189" s="5"/>
      <c r="O1189" s="5"/>
      <c r="P1189" s="5"/>
      <c r="R1189" s="5"/>
      <c r="S1189" s="5"/>
      <c r="V1189" s="5"/>
      <c r="W1189" s="6" t="s">
        <v>2789</v>
      </c>
    </row>
    <row r="1190" spans="1:23" x14ac:dyDescent="0.15">
      <c r="A1190" s="2" t="s">
        <v>202</v>
      </c>
      <c r="B1190" s="2" t="s">
        <v>3936</v>
      </c>
      <c r="C1190" s="2" t="s">
        <v>940</v>
      </c>
      <c r="D1190" s="2" t="s">
        <v>744</v>
      </c>
      <c r="E1190" s="1"/>
      <c r="F1190" s="2" t="s">
        <v>374</v>
      </c>
      <c r="G1190" s="2" t="s">
        <v>374</v>
      </c>
      <c r="H1190" s="2" t="str">
        <f t="shared" si="43"/>
        <v>C</v>
      </c>
      <c r="I1190" s="5">
        <f>MEDIAN(45, 48)</f>
        <v>46.5</v>
      </c>
      <c r="J1190" s="5">
        <f>MEDIAN(11000,12000)</f>
        <v>11500</v>
      </c>
      <c r="K1190" s="5"/>
      <c r="L1190" s="7">
        <f>MEDIAN(7,8)</f>
        <v>7.5</v>
      </c>
      <c r="M1190" s="2" t="s">
        <v>571</v>
      </c>
      <c r="N1190" s="5"/>
      <c r="O1190" s="5"/>
      <c r="P1190" s="5"/>
      <c r="R1190" s="5"/>
      <c r="S1190" s="5"/>
      <c r="V1190" s="5"/>
      <c r="W1190" s="6" t="s">
        <v>2001</v>
      </c>
    </row>
    <row r="1191" spans="1:23" x14ac:dyDescent="0.15">
      <c r="A1191" s="2" t="s">
        <v>202</v>
      </c>
      <c r="B1191" s="2" t="s">
        <v>3936</v>
      </c>
      <c r="C1191" s="2" t="s">
        <v>940</v>
      </c>
      <c r="D1191" s="2" t="s">
        <v>745</v>
      </c>
      <c r="E1191" s="1"/>
      <c r="F1191" s="2" t="s">
        <v>438</v>
      </c>
      <c r="H1191" s="2" t="s">
        <v>3887</v>
      </c>
      <c r="I1191" s="5">
        <v>24.04</v>
      </c>
      <c r="J1191" s="5">
        <f xml:space="preserve"> 0.1272*I1191^3.056</f>
        <v>2111.6543493068498</v>
      </c>
      <c r="K1191" s="5"/>
      <c r="L1191" s="5"/>
      <c r="M1191" s="2" t="s">
        <v>571</v>
      </c>
      <c r="N1191" s="5"/>
      <c r="O1191" s="5"/>
      <c r="P1191" s="5"/>
      <c r="R1191" s="5"/>
      <c r="S1191" s="5"/>
      <c r="V1191" s="5"/>
      <c r="W1191" s="6" t="s">
        <v>909</v>
      </c>
    </row>
    <row r="1192" spans="1:23" x14ac:dyDescent="0.15">
      <c r="A1192" s="2" t="s">
        <v>202</v>
      </c>
      <c r="B1192" s="2" t="s">
        <v>3936</v>
      </c>
      <c r="C1192" s="2" t="s">
        <v>940</v>
      </c>
      <c r="D1192" s="2" t="s">
        <v>745</v>
      </c>
      <c r="E1192" s="1"/>
      <c r="F1192" s="2" t="s">
        <v>374</v>
      </c>
      <c r="G1192" s="2" t="s">
        <v>374</v>
      </c>
      <c r="H1192" s="2" t="str">
        <f t="shared" si="43"/>
        <v>C</v>
      </c>
      <c r="I1192" s="5"/>
      <c r="J1192" s="5"/>
      <c r="K1192" s="5"/>
      <c r="L1192" s="5">
        <v>4</v>
      </c>
      <c r="M1192" s="2" t="s">
        <v>571</v>
      </c>
      <c r="N1192" s="5">
        <v>64.5</v>
      </c>
      <c r="O1192" s="5">
        <v>37.5</v>
      </c>
      <c r="P1192" s="5">
        <f xml:space="preserve"> 0.67*N1192 + 0.692*O1192 - 14.281</f>
        <v>54.884000000000007</v>
      </c>
      <c r="Q1192" s="2" t="s">
        <v>376</v>
      </c>
      <c r="R1192" s="5">
        <f>L1192*P1192</f>
        <v>219.53600000000003</v>
      </c>
      <c r="S1192" s="5"/>
      <c r="V1192" s="5"/>
      <c r="W1192" s="6" t="s">
        <v>3549</v>
      </c>
    </row>
    <row r="1193" spans="1:23" x14ac:dyDescent="0.15">
      <c r="A1193" s="2" t="s">
        <v>202</v>
      </c>
      <c r="B1193" s="2" t="s">
        <v>3936</v>
      </c>
      <c r="C1193" s="2" t="s">
        <v>940</v>
      </c>
      <c r="D1193" s="2" t="s">
        <v>745</v>
      </c>
      <c r="E1193" s="1"/>
      <c r="F1193" s="2" t="s">
        <v>438</v>
      </c>
      <c r="G1193" s="2">
        <v>19</v>
      </c>
      <c r="H1193" s="2" t="str">
        <f t="shared" si="43"/>
        <v>W</v>
      </c>
      <c r="I1193" s="5">
        <v>23.7</v>
      </c>
      <c r="J1193" s="5">
        <f xml:space="preserve"> 0.1272*I1193^3.056</f>
        <v>2021.7062640910008</v>
      </c>
      <c r="K1193" s="5"/>
      <c r="L1193" s="5"/>
      <c r="M1193" s="2" t="s">
        <v>571</v>
      </c>
      <c r="N1193" s="5"/>
      <c r="O1193" s="5"/>
      <c r="P1193" s="5"/>
      <c r="R1193" s="5"/>
      <c r="S1193" s="5"/>
      <c r="V1193" s="5"/>
      <c r="W1193" s="6" t="s">
        <v>3546</v>
      </c>
    </row>
    <row r="1194" spans="1:23" x14ac:dyDescent="0.15">
      <c r="A1194" s="2" t="s">
        <v>202</v>
      </c>
      <c r="B1194" s="2" t="s">
        <v>3936</v>
      </c>
      <c r="C1194" s="2" t="s">
        <v>940</v>
      </c>
      <c r="D1194" s="2" t="s">
        <v>745</v>
      </c>
      <c r="E1194" s="1"/>
      <c r="F1194" s="2" t="s">
        <v>438</v>
      </c>
      <c r="G1194" s="2">
        <v>21.3</v>
      </c>
      <c r="H1194" s="2" t="str">
        <f t="shared" si="43"/>
        <v>W</v>
      </c>
      <c r="I1194" s="5">
        <v>23</v>
      </c>
      <c r="J1194" s="5">
        <f xml:space="preserve"> 0.1272*I1194^3.056</f>
        <v>1844.7069253411576</v>
      </c>
      <c r="K1194" s="5"/>
      <c r="L1194" s="7">
        <f>MEDIAN(2,3)</f>
        <v>2.5</v>
      </c>
      <c r="M1194" s="2" t="s">
        <v>571</v>
      </c>
      <c r="N1194" s="5"/>
      <c r="O1194" s="5"/>
      <c r="P1194" s="5"/>
      <c r="R1194" s="5"/>
      <c r="S1194" s="5"/>
      <c r="V1194" s="5"/>
      <c r="W1194" s="6" t="s">
        <v>2791</v>
      </c>
    </row>
    <row r="1195" spans="1:23" x14ac:dyDescent="0.15">
      <c r="A1195" s="2" t="s">
        <v>202</v>
      </c>
      <c r="B1195" s="2" t="s">
        <v>3936</v>
      </c>
      <c r="C1195" s="2" t="s">
        <v>940</v>
      </c>
      <c r="D1195" s="2" t="s">
        <v>745</v>
      </c>
      <c r="E1195" s="1"/>
      <c r="F1195" s="2" t="s">
        <v>438</v>
      </c>
      <c r="G1195" s="2">
        <v>17.600000000000001</v>
      </c>
      <c r="H1195" s="2" t="s">
        <v>30</v>
      </c>
      <c r="I1195" s="5">
        <v>25.2</v>
      </c>
      <c r="J1195" s="5">
        <v>2510</v>
      </c>
      <c r="K1195" s="5"/>
      <c r="L1195" s="7">
        <v>5</v>
      </c>
      <c r="M1195" s="2" t="s">
        <v>571</v>
      </c>
      <c r="N1195" s="5"/>
      <c r="O1195" s="5"/>
      <c r="P1195" s="5">
        <v>46</v>
      </c>
      <c r="Q1195" s="2" t="s">
        <v>4129</v>
      </c>
      <c r="R1195" s="5">
        <v>230</v>
      </c>
      <c r="S1195" s="5">
        <v>9.16</v>
      </c>
      <c r="V1195" s="5"/>
      <c r="W1195" s="6" t="s">
        <v>4130</v>
      </c>
    </row>
    <row r="1196" spans="1:23" x14ac:dyDescent="0.15">
      <c r="A1196" s="2" t="s">
        <v>202</v>
      </c>
      <c r="B1196" s="2" t="s">
        <v>3936</v>
      </c>
      <c r="C1196" s="2" t="s">
        <v>940</v>
      </c>
      <c r="D1196" s="2" t="s">
        <v>745</v>
      </c>
      <c r="E1196" s="1"/>
      <c r="F1196" s="2" t="s">
        <v>438</v>
      </c>
      <c r="G1196" s="2" t="s">
        <v>374</v>
      </c>
      <c r="H1196" s="2" t="str">
        <f t="shared" si="43"/>
        <v>C</v>
      </c>
      <c r="I1196" s="5">
        <f>EXP(LN(J1196/0.1272)/3.056)</f>
        <v>25.570538767235348</v>
      </c>
      <c r="J1196" s="5">
        <v>2550</v>
      </c>
      <c r="K1196" s="5"/>
      <c r="L1196" s="5">
        <v>5.55</v>
      </c>
      <c r="M1196" s="2" t="s">
        <v>571</v>
      </c>
      <c r="N1196" s="5">
        <v>64.650000000000006</v>
      </c>
      <c r="O1196" s="5">
        <v>35.74</v>
      </c>
      <c r="P1196" s="5">
        <v>49.475000000000001</v>
      </c>
      <c r="Q1196" s="2" t="s">
        <v>18</v>
      </c>
      <c r="R1196" s="5">
        <v>274.36</v>
      </c>
      <c r="S1196" s="5">
        <v>10.76</v>
      </c>
      <c r="T1196" s="2">
        <v>1</v>
      </c>
      <c r="U1196" s="2" t="str">
        <f>IF(T1196&lt;=1, "1",IF(AND(T1196&gt;1,T1196&lt;4), "2-3", "+4"))</f>
        <v>1</v>
      </c>
      <c r="V1196" s="5">
        <f>S1196*T1196</f>
        <v>10.76</v>
      </c>
      <c r="W1196" s="6" t="s">
        <v>2790</v>
      </c>
    </row>
    <row r="1197" spans="1:23" x14ac:dyDescent="0.15">
      <c r="A1197" s="2" t="s">
        <v>202</v>
      </c>
      <c r="B1197" s="2" t="s">
        <v>3936</v>
      </c>
      <c r="C1197" s="2" t="s">
        <v>940</v>
      </c>
      <c r="D1197" s="2" t="s">
        <v>746</v>
      </c>
      <c r="E1197" s="1"/>
      <c r="F1197" s="2" t="s">
        <v>374</v>
      </c>
      <c r="G1197" s="2" t="s">
        <v>374</v>
      </c>
      <c r="H1197" s="2" t="str">
        <f t="shared" si="43"/>
        <v>C</v>
      </c>
      <c r="I1197" s="5">
        <v>29.5</v>
      </c>
      <c r="J1197" s="5">
        <v>5160</v>
      </c>
      <c r="K1197" s="7">
        <f>MEDIAN(6,8)</f>
        <v>7</v>
      </c>
      <c r="L1197" s="5">
        <v>5.37</v>
      </c>
      <c r="M1197" s="2" t="s">
        <v>571</v>
      </c>
      <c r="N1197" s="5"/>
      <c r="O1197" s="5"/>
      <c r="P1197" s="5">
        <v>48.8</v>
      </c>
      <c r="Q1197" s="2" t="s">
        <v>18</v>
      </c>
      <c r="R1197" s="5">
        <v>262.06</v>
      </c>
      <c r="S1197" s="5">
        <v>5.08</v>
      </c>
      <c r="T1197" s="7">
        <f>MEDIAN(1,2)</f>
        <v>1.5</v>
      </c>
      <c r="U1197" s="2" t="str">
        <f>IF(T1197&lt;=1, "1",IF(AND(T1197&gt;1,T1197&lt;4), "2-3", "+4"))</f>
        <v>2-3</v>
      </c>
      <c r="V1197" s="5">
        <f>S1197*T1197</f>
        <v>7.62</v>
      </c>
      <c r="W1197" s="6" t="s">
        <v>2009</v>
      </c>
    </row>
    <row r="1198" spans="1:23" x14ac:dyDescent="0.15">
      <c r="A1198" s="2" t="s">
        <v>202</v>
      </c>
      <c r="B1198" s="2" t="s">
        <v>3936</v>
      </c>
      <c r="C1198" s="2" t="s">
        <v>940</v>
      </c>
      <c r="D1198" s="2" t="s">
        <v>746</v>
      </c>
      <c r="E1198" s="1"/>
      <c r="F1198" s="2" t="s">
        <v>2436</v>
      </c>
      <c r="G1198" s="2" t="s">
        <v>374</v>
      </c>
      <c r="H1198" s="2" t="str">
        <f t="shared" si="43"/>
        <v>C</v>
      </c>
      <c r="I1198" s="5">
        <v>27.67</v>
      </c>
      <c r="J1198" s="5">
        <f xml:space="preserve"> 2.3067*I1198^2.2095</f>
        <v>3540.8730202842808</v>
      </c>
      <c r="K1198" s="5"/>
      <c r="L1198" s="5"/>
      <c r="M1198" s="2" t="s">
        <v>571</v>
      </c>
      <c r="N1198" s="5"/>
      <c r="O1198" s="7"/>
      <c r="P1198" s="5"/>
      <c r="R1198" s="5"/>
      <c r="S1198" s="5"/>
      <c r="V1198" s="5"/>
      <c r="W1198" s="6" t="s">
        <v>2793</v>
      </c>
    </row>
    <row r="1199" spans="1:23" x14ac:dyDescent="0.15">
      <c r="A1199" s="2" t="s">
        <v>202</v>
      </c>
      <c r="B1199" s="2" t="s">
        <v>3936</v>
      </c>
      <c r="C1199" s="2" t="s">
        <v>940</v>
      </c>
      <c r="D1199" s="2" t="s">
        <v>746</v>
      </c>
      <c r="E1199" s="1"/>
      <c r="F1199" s="2" t="s">
        <v>374</v>
      </c>
      <c r="G1199" s="2" t="s">
        <v>374</v>
      </c>
      <c r="H1199" s="2" t="str">
        <f t="shared" si="43"/>
        <v>C</v>
      </c>
      <c r="I1199" s="5">
        <v>30.5</v>
      </c>
      <c r="J1199" s="5">
        <v>4800</v>
      </c>
      <c r="K1199" s="5"/>
      <c r="L1199" s="5">
        <v>5</v>
      </c>
      <c r="M1199" s="2" t="s">
        <v>571</v>
      </c>
      <c r="N1199" s="5">
        <f>MEDIAN(55,65)</f>
        <v>60</v>
      </c>
      <c r="O1199" s="5"/>
      <c r="P1199" s="7">
        <f>MEDIAN(52.9335,54.2585)</f>
        <v>53.596000000000004</v>
      </c>
      <c r="Q1199" s="2" t="s">
        <v>376</v>
      </c>
      <c r="R1199" s="7">
        <f>MEDIAN(264.67,271.29)</f>
        <v>267.98</v>
      </c>
      <c r="S1199" s="7">
        <f>MEDIAN(5.11,5.65)</f>
        <v>5.3800000000000008</v>
      </c>
      <c r="V1199" s="5"/>
      <c r="W1199" s="6" t="s">
        <v>3341</v>
      </c>
    </row>
    <row r="1200" spans="1:23" x14ac:dyDescent="0.15">
      <c r="A1200" s="2" t="s">
        <v>202</v>
      </c>
      <c r="B1200" s="2" t="s">
        <v>3936</v>
      </c>
      <c r="C1200" s="2" t="s">
        <v>940</v>
      </c>
      <c r="D1200" s="2" t="s">
        <v>746</v>
      </c>
      <c r="E1200" s="1"/>
      <c r="F1200" s="2" t="s">
        <v>374</v>
      </c>
      <c r="G1200" s="2" t="s">
        <v>374</v>
      </c>
      <c r="H1200" s="2" t="str">
        <f t="shared" ref="H1200:H1263" si="44">IF(G1200="captive","C","W")</f>
        <v>C</v>
      </c>
      <c r="I1200" s="5">
        <v>35.5</v>
      </c>
      <c r="J1200" s="5">
        <v>6985.7</v>
      </c>
      <c r="K1200" s="5"/>
      <c r="L1200" s="5">
        <v>6.43</v>
      </c>
      <c r="M1200" s="2" t="s">
        <v>571</v>
      </c>
      <c r="N1200" s="5">
        <v>54.57</v>
      </c>
      <c r="O1200" s="5">
        <v>36.159999999999997</v>
      </c>
      <c r="P1200" s="5">
        <v>57.06</v>
      </c>
      <c r="Q1200" s="2" t="s">
        <v>376</v>
      </c>
      <c r="R1200" s="5">
        <v>366.9</v>
      </c>
      <c r="S1200" s="5">
        <v>5.25</v>
      </c>
      <c r="V1200" s="5"/>
      <c r="W1200" s="6" t="s">
        <v>3342</v>
      </c>
    </row>
    <row r="1201" spans="1:58" x14ac:dyDescent="0.15">
      <c r="A1201" s="2" t="s">
        <v>202</v>
      </c>
      <c r="B1201" s="2" t="s">
        <v>3936</v>
      </c>
      <c r="C1201" s="2" t="s">
        <v>940</v>
      </c>
      <c r="D1201" s="2" t="s">
        <v>746</v>
      </c>
      <c r="E1201" s="1"/>
      <c r="F1201" s="2" t="s">
        <v>374</v>
      </c>
      <c r="G1201" s="2" t="s">
        <v>374</v>
      </c>
      <c r="H1201" s="2" t="str">
        <f t="shared" si="44"/>
        <v>C</v>
      </c>
      <c r="I1201" s="5"/>
      <c r="J1201" s="5"/>
      <c r="K1201" s="5"/>
      <c r="L1201" s="7">
        <f>MEDIAN(3,11)</f>
        <v>7</v>
      </c>
      <c r="M1201" s="2" t="s">
        <v>571</v>
      </c>
      <c r="N1201" s="5">
        <f>MEDIAN(47,67)</f>
        <v>57</v>
      </c>
      <c r="O1201" s="5">
        <f>MEDIAN(34,38)</f>
        <v>36</v>
      </c>
      <c r="P1201" s="5">
        <f>MEDIAN(46,52.9)</f>
        <v>49.45</v>
      </c>
      <c r="Q1201" s="2" t="s">
        <v>18</v>
      </c>
      <c r="R1201" s="5">
        <f>P1201*L1201</f>
        <v>346.15000000000003</v>
      </c>
      <c r="S1201" s="5"/>
      <c r="V1201" s="5"/>
      <c r="W1201" s="6" t="s">
        <v>2001</v>
      </c>
    </row>
    <row r="1202" spans="1:58" x14ac:dyDescent="0.15">
      <c r="A1202" s="2" t="s">
        <v>202</v>
      </c>
      <c r="B1202" s="2" t="s">
        <v>3936</v>
      </c>
      <c r="C1202" s="2" t="s">
        <v>940</v>
      </c>
      <c r="D1202" s="2" t="s">
        <v>746</v>
      </c>
      <c r="E1202" s="1"/>
      <c r="F1202" s="2" t="s">
        <v>374</v>
      </c>
      <c r="G1202" s="2" t="s">
        <v>374</v>
      </c>
      <c r="H1202" s="2" t="str">
        <f t="shared" si="44"/>
        <v>C</v>
      </c>
      <c r="I1202" s="5">
        <v>28.2</v>
      </c>
      <c r="J1202" s="5">
        <f xml:space="preserve"> 2.3067*I1202^2.2095</f>
        <v>3692.4661310166002</v>
      </c>
      <c r="K1202" s="5"/>
      <c r="L1202" s="7"/>
      <c r="M1202" s="2" t="s">
        <v>571</v>
      </c>
      <c r="N1202" s="5"/>
      <c r="O1202" s="5"/>
      <c r="P1202" s="5"/>
      <c r="R1202" s="5"/>
      <c r="S1202" s="5"/>
      <c r="V1202" s="5"/>
      <c r="W1202" s="6" t="s">
        <v>2792</v>
      </c>
    </row>
    <row r="1203" spans="1:58" x14ac:dyDescent="0.15">
      <c r="A1203" s="2" t="s">
        <v>202</v>
      </c>
      <c r="B1203" s="2" t="s">
        <v>3936</v>
      </c>
      <c r="C1203" s="2" t="s">
        <v>940</v>
      </c>
      <c r="D1203" s="2" t="s">
        <v>384</v>
      </c>
      <c r="E1203" s="1"/>
      <c r="F1203" s="2" t="s">
        <v>374</v>
      </c>
      <c r="G1203" s="2" t="s">
        <v>374</v>
      </c>
      <c r="H1203" s="2" t="str">
        <f t="shared" si="44"/>
        <v>C</v>
      </c>
      <c r="I1203" s="5">
        <v>17.75</v>
      </c>
      <c r="J1203" s="5">
        <v>917.5</v>
      </c>
      <c r="K1203" s="5"/>
      <c r="L1203" s="7"/>
      <c r="M1203" s="2" t="s">
        <v>571</v>
      </c>
      <c r="N1203" s="5"/>
      <c r="O1203" s="5"/>
      <c r="P1203" s="5"/>
      <c r="R1203" s="5"/>
      <c r="S1203" s="5"/>
      <c r="V1203" s="5"/>
      <c r="W1203" s="6" t="s">
        <v>2509</v>
      </c>
    </row>
    <row r="1204" spans="1:58" x14ac:dyDescent="0.15">
      <c r="A1204" s="2" t="s">
        <v>202</v>
      </c>
      <c r="B1204" s="2" t="s">
        <v>3936</v>
      </c>
      <c r="C1204" s="2" t="s">
        <v>940</v>
      </c>
      <c r="D1204" s="2" t="s">
        <v>384</v>
      </c>
      <c r="E1204" s="1"/>
      <c r="F1204" s="2" t="s">
        <v>2437</v>
      </c>
      <c r="G1204" s="2">
        <v>4.68</v>
      </c>
      <c r="H1204" s="2" t="str">
        <f t="shared" si="44"/>
        <v>W</v>
      </c>
      <c r="I1204" s="5">
        <v>17.670000000000002</v>
      </c>
      <c r="J1204" s="5">
        <v>1041.74</v>
      </c>
      <c r="K1204" s="5"/>
      <c r="L1204" s="5">
        <v>1</v>
      </c>
      <c r="M1204" s="2" t="s">
        <v>571</v>
      </c>
      <c r="N1204" s="5">
        <v>62.6</v>
      </c>
      <c r="O1204" s="5">
        <v>33.799999999999997</v>
      </c>
      <c r="P1204" s="5">
        <v>43.67</v>
      </c>
      <c r="Q1204" s="2" t="s">
        <v>18</v>
      </c>
      <c r="R1204" s="5">
        <v>43.67</v>
      </c>
      <c r="S1204" s="5">
        <f>(R1204/J1204)*100</f>
        <v>4.1920248814483463</v>
      </c>
      <c r="V1204" s="5"/>
      <c r="W1204" s="6" t="s">
        <v>2796</v>
      </c>
    </row>
    <row r="1205" spans="1:58" x14ac:dyDescent="0.15">
      <c r="A1205" s="2" t="s">
        <v>202</v>
      </c>
      <c r="B1205" s="2" t="s">
        <v>3936</v>
      </c>
      <c r="C1205" s="2" t="s">
        <v>940</v>
      </c>
      <c r="D1205" s="2" t="s">
        <v>384</v>
      </c>
      <c r="E1205" s="1"/>
      <c r="F1205" s="2" t="s">
        <v>374</v>
      </c>
      <c r="G1205" s="2" t="s">
        <v>374</v>
      </c>
      <c r="H1205" s="2" t="str">
        <f t="shared" si="44"/>
        <v>C</v>
      </c>
      <c r="I1205" s="5">
        <v>18.899999999999999</v>
      </c>
      <c r="J1205" s="5">
        <v>1366</v>
      </c>
      <c r="K1205" s="5"/>
      <c r="L1205" s="5">
        <v>1</v>
      </c>
      <c r="M1205" s="5" t="s">
        <v>571</v>
      </c>
      <c r="N1205" s="5">
        <v>66.64</v>
      </c>
      <c r="O1205" s="5">
        <v>34.04</v>
      </c>
      <c r="P1205" s="5">
        <v>49.2</v>
      </c>
      <c r="Q1205" s="2" t="s">
        <v>18</v>
      </c>
      <c r="R1205" s="5">
        <v>49.2</v>
      </c>
      <c r="S1205" s="5">
        <v>3.6</v>
      </c>
      <c r="T1205" s="2" t="s">
        <v>524</v>
      </c>
      <c r="U1205" s="40" t="s">
        <v>395</v>
      </c>
      <c r="V1205" s="5"/>
      <c r="W1205" s="6" t="s">
        <v>2795</v>
      </c>
    </row>
    <row r="1206" spans="1:58" s="1" customFormat="1" x14ac:dyDescent="0.15">
      <c r="A1206" s="2" t="s">
        <v>202</v>
      </c>
      <c r="B1206" s="2" t="s">
        <v>3936</v>
      </c>
      <c r="C1206" s="2" t="s">
        <v>940</v>
      </c>
      <c r="D1206" s="2" t="s">
        <v>384</v>
      </c>
      <c r="F1206" s="2" t="s">
        <v>374</v>
      </c>
      <c r="G1206" s="2" t="s">
        <v>374</v>
      </c>
      <c r="H1206" s="2" t="str">
        <f t="shared" si="44"/>
        <v>C</v>
      </c>
      <c r="I1206" s="5">
        <v>20.3</v>
      </c>
      <c r="J1206" s="5">
        <v>1640</v>
      </c>
      <c r="K1206" s="5">
        <v>10</v>
      </c>
      <c r="L1206" s="5">
        <v>1.25</v>
      </c>
      <c r="M1206" s="5" t="s">
        <v>571</v>
      </c>
      <c r="N1206" s="5"/>
      <c r="O1206" s="5"/>
      <c r="P1206" s="5"/>
      <c r="Q1206" s="2"/>
      <c r="R1206" s="5"/>
      <c r="S1206" s="5"/>
      <c r="T1206" s="2" t="s">
        <v>382</v>
      </c>
      <c r="U1206" s="40" t="s">
        <v>395</v>
      </c>
      <c r="V1206" s="5"/>
      <c r="W1206" s="6" t="s">
        <v>2794</v>
      </c>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row>
    <row r="1207" spans="1:58" x14ac:dyDescent="0.15">
      <c r="A1207" s="2" t="s">
        <v>202</v>
      </c>
      <c r="B1207" s="2" t="s">
        <v>3936</v>
      </c>
      <c r="C1207" s="2" t="s">
        <v>940</v>
      </c>
      <c r="D1207" s="2" t="s">
        <v>384</v>
      </c>
      <c r="E1207" s="1"/>
      <c r="F1207" s="2" t="s">
        <v>203</v>
      </c>
      <c r="G1207" s="2">
        <v>4</v>
      </c>
      <c r="H1207" s="2" t="str">
        <f t="shared" si="44"/>
        <v>W</v>
      </c>
      <c r="I1207" s="5">
        <v>18.600000000000001</v>
      </c>
      <c r="J1207" s="5">
        <v>998.7</v>
      </c>
      <c r="K1207" s="5"/>
      <c r="L1207" s="5">
        <v>1</v>
      </c>
      <c r="M1207" s="2" t="s">
        <v>571</v>
      </c>
      <c r="N1207" s="5">
        <v>65</v>
      </c>
      <c r="O1207" s="5">
        <v>35</v>
      </c>
      <c r="P1207" s="5">
        <v>48.7</v>
      </c>
      <c r="Q1207" s="2" t="s">
        <v>18</v>
      </c>
      <c r="R1207" s="5">
        <v>48.7</v>
      </c>
      <c r="S1207" s="5">
        <f>(R1207/J1207)*100</f>
        <v>4.8763392410133175</v>
      </c>
      <c r="V1207" s="5"/>
      <c r="W1207" s="6" t="s">
        <v>2417</v>
      </c>
    </row>
    <row r="1208" spans="1:58" x14ac:dyDescent="0.15">
      <c r="A1208" s="2" t="s">
        <v>202</v>
      </c>
      <c r="B1208" s="2" t="s">
        <v>3936</v>
      </c>
      <c r="C1208" s="2" t="s">
        <v>940</v>
      </c>
      <c r="D1208" s="2" t="s">
        <v>384</v>
      </c>
      <c r="E1208" s="1"/>
      <c r="F1208" s="2" t="s">
        <v>374</v>
      </c>
      <c r="G1208" s="2" t="s">
        <v>374</v>
      </c>
      <c r="H1208" s="2" t="str">
        <f t="shared" si="44"/>
        <v>C</v>
      </c>
      <c r="I1208" s="5"/>
      <c r="J1208" s="5"/>
      <c r="K1208" s="5"/>
      <c r="L1208" s="7">
        <v>3</v>
      </c>
      <c r="M1208" s="2" t="s">
        <v>571</v>
      </c>
      <c r="N1208" s="5"/>
      <c r="O1208" s="5"/>
      <c r="P1208" s="5"/>
      <c r="R1208" s="5"/>
      <c r="S1208" s="5"/>
      <c r="V1208" s="5"/>
      <c r="W1208" s="6" t="s">
        <v>2001</v>
      </c>
    </row>
    <row r="1209" spans="1:58" x14ac:dyDescent="0.15">
      <c r="A1209" s="2" t="s">
        <v>202</v>
      </c>
      <c r="B1209" s="2" t="s">
        <v>3936</v>
      </c>
      <c r="C1209" s="2" t="s">
        <v>940</v>
      </c>
      <c r="D1209" s="2" t="s">
        <v>384</v>
      </c>
      <c r="E1209" s="1"/>
      <c r="F1209" s="2" t="s">
        <v>374</v>
      </c>
      <c r="G1209" s="2" t="s">
        <v>374</v>
      </c>
      <c r="H1209" s="2" t="str">
        <f t="shared" si="44"/>
        <v>C</v>
      </c>
      <c r="I1209" s="5">
        <v>17.5</v>
      </c>
      <c r="J1209" s="5">
        <v>1238</v>
      </c>
      <c r="K1209" s="5"/>
      <c r="L1209" s="7">
        <v>1</v>
      </c>
      <c r="M1209" s="2" t="s">
        <v>571</v>
      </c>
      <c r="N1209" s="5">
        <v>62</v>
      </c>
      <c r="O1209" s="5">
        <v>32.5</v>
      </c>
      <c r="P1209" s="5">
        <v>42.055</v>
      </c>
      <c r="Q1209" s="2" t="s">
        <v>376</v>
      </c>
      <c r="R1209" s="5">
        <v>42.055</v>
      </c>
      <c r="S1209" s="5">
        <v>3.4</v>
      </c>
      <c r="T1209" s="9">
        <f>MEDIAN(2,3)</f>
        <v>2.5</v>
      </c>
      <c r="U1209" s="2" t="str">
        <f>IF(T1209&lt;=1, "1",IF(AND(T1209&gt;1,T1209&lt;4), "2-3", "+4"))</f>
        <v>2-3</v>
      </c>
      <c r="V1209" s="5">
        <f>S1209*T1209</f>
        <v>8.5</v>
      </c>
      <c r="W1209" s="6" t="s">
        <v>2774</v>
      </c>
    </row>
    <row r="1210" spans="1:58" x14ac:dyDescent="0.15">
      <c r="A1210" s="2" t="s">
        <v>202</v>
      </c>
      <c r="B1210" s="2" t="s">
        <v>3936</v>
      </c>
      <c r="C1210" s="2" t="s">
        <v>3497</v>
      </c>
      <c r="D1210" s="2" t="s">
        <v>747</v>
      </c>
      <c r="E1210" s="1"/>
      <c r="F1210" s="2" t="s">
        <v>2955</v>
      </c>
      <c r="G1210" s="2">
        <v>0.23</v>
      </c>
      <c r="H1210" s="2" t="str">
        <f t="shared" si="44"/>
        <v>W</v>
      </c>
      <c r="I1210" s="5">
        <v>21.9</v>
      </c>
      <c r="J1210" s="5">
        <f xml:space="preserve"> 0.7539*(I1210*10)^1.4253</f>
        <v>1633.6113426674756</v>
      </c>
      <c r="K1210" s="5"/>
      <c r="L1210" s="7">
        <v>1</v>
      </c>
      <c r="M1210" s="2" t="s">
        <v>571</v>
      </c>
      <c r="N1210" s="5">
        <v>67.8</v>
      </c>
      <c r="O1210" s="5">
        <v>33.200000000000003</v>
      </c>
      <c r="P1210" s="5">
        <v>44.33</v>
      </c>
      <c r="Q1210" s="2" t="s">
        <v>376</v>
      </c>
      <c r="R1210" s="5">
        <v>44.33</v>
      </c>
      <c r="S1210" s="5">
        <f>(R1210/J1210)*100</f>
        <v>2.7136197479882123</v>
      </c>
      <c r="V1210" s="5"/>
      <c r="W1210" s="6" t="s">
        <v>3015</v>
      </c>
    </row>
    <row r="1211" spans="1:58" x14ac:dyDescent="0.15">
      <c r="A1211" s="2" t="s">
        <v>202</v>
      </c>
      <c r="B1211" s="2" t="s">
        <v>3936</v>
      </c>
      <c r="C1211" s="2" t="s">
        <v>3497</v>
      </c>
      <c r="D1211" s="2" t="s">
        <v>747</v>
      </c>
      <c r="E1211" s="1"/>
      <c r="F1211" s="2" t="s">
        <v>374</v>
      </c>
      <c r="G1211" s="2">
        <v>1</v>
      </c>
      <c r="H1211" s="2" t="str">
        <f t="shared" si="44"/>
        <v>W</v>
      </c>
      <c r="I1211" s="5">
        <v>20.2</v>
      </c>
      <c r="J1211" s="5">
        <v>1483</v>
      </c>
      <c r="K1211" s="5"/>
      <c r="L1211" s="5">
        <v>1.2</v>
      </c>
      <c r="M1211" s="2" t="s">
        <v>571</v>
      </c>
      <c r="N1211" s="5">
        <v>60.8</v>
      </c>
      <c r="O1211" s="5">
        <v>32.4</v>
      </c>
      <c r="P1211" s="5">
        <v>45.4</v>
      </c>
      <c r="Q1211" s="2" t="s">
        <v>18</v>
      </c>
      <c r="R1211" s="5">
        <f>P1211*L1211</f>
        <v>54.48</v>
      </c>
      <c r="S1211" s="5">
        <f>(R1211/J1211)*100</f>
        <v>3.6736345246122721</v>
      </c>
      <c r="T1211" s="2" t="s">
        <v>122</v>
      </c>
      <c r="V1211" s="5"/>
      <c r="W1211" s="6" t="s">
        <v>2010</v>
      </c>
    </row>
    <row r="1212" spans="1:58" x14ac:dyDescent="0.15">
      <c r="A1212" s="2" t="s">
        <v>202</v>
      </c>
      <c r="B1212" s="2" t="s">
        <v>3936</v>
      </c>
      <c r="C1212" s="2" t="s">
        <v>3497</v>
      </c>
      <c r="D1212" s="2" t="s">
        <v>747</v>
      </c>
      <c r="E1212" s="1"/>
      <c r="F1212" s="2" t="s">
        <v>374</v>
      </c>
      <c r="G1212" s="2">
        <v>-0.9</v>
      </c>
      <c r="H1212" s="2" t="str">
        <f t="shared" si="44"/>
        <v>W</v>
      </c>
      <c r="I1212" s="5">
        <v>18.95</v>
      </c>
      <c r="J1212" s="5">
        <v>1200</v>
      </c>
      <c r="K1212" s="5"/>
      <c r="L1212" s="5">
        <v>1</v>
      </c>
      <c r="M1212" s="2" t="s">
        <v>571</v>
      </c>
      <c r="N1212" s="5"/>
      <c r="O1212" s="5"/>
      <c r="P1212" s="5"/>
      <c r="R1212" s="5"/>
      <c r="S1212" s="5"/>
      <c r="V1212" s="5"/>
      <c r="W1212" s="6" t="s">
        <v>2011</v>
      </c>
      <c r="AU1212" s="1"/>
      <c r="AV1212" s="1"/>
      <c r="AW1212" s="1"/>
      <c r="AX1212" s="1"/>
      <c r="AY1212" s="1"/>
      <c r="AZ1212" s="1"/>
      <c r="BA1212" s="1"/>
      <c r="BB1212" s="1"/>
      <c r="BC1212" s="1"/>
      <c r="BD1212" s="1"/>
      <c r="BE1212" s="1"/>
      <c r="BF1212" s="1"/>
    </row>
    <row r="1213" spans="1:58" x14ac:dyDescent="0.15">
      <c r="A1213" s="2" t="s">
        <v>202</v>
      </c>
      <c r="B1213" s="2" t="s">
        <v>3936</v>
      </c>
      <c r="C1213" s="2" t="s">
        <v>3497</v>
      </c>
      <c r="D1213" s="2" t="s">
        <v>747</v>
      </c>
      <c r="E1213" s="1"/>
      <c r="F1213" s="2" t="s">
        <v>374</v>
      </c>
      <c r="G1213" s="2" t="s">
        <v>374</v>
      </c>
      <c r="H1213" s="2" t="str">
        <f t="shared" si="44"/>
        <v>C</v>
      </c>
      <c r="I1213" s="5">
        <v>20.56</v>
      </c>
      <c r="J1213" s="5">
        <f xml:space="preserve"> 0.7539*(I1213*10)^1.4253</f>
        <v>1493.0198522683349</v>
      </c>
      <c r="K1213" s="5"/>
      <c r="L1213" s="5">
        <v>1</v>
      </c>
      <c r="M1213" s="2" t="s">
        <v>571</v>
      </c>
      <c r="N1213" s="5">
        <v>65.180000000000007</v>
      </c>
      <c r="O1213" s="5">
        <v>33.130000000000003</v>
      </c>
      <c r="P1213" s="5">
        <v>42.55</v>
      </c>
      <c r="Q1213" s="2" t="s">
        <v>376</v>
      </c>
      <c r="R1213" s="5">
        <v>42.55</v>
      </c>
      <c r="S1213" s="5">
        <f>(R1213/J1213)*100</f>
        <v>2.8499286151724017</v>
      </c>
      <c r="V1213" s="5"/>
      <c r="W1213" s="6" t="s">
        <v>2438</v>
      </c>
      <c r="AO1213" s="1"/>
      <c r="AP1213" s="1"/>
      <c r="AQ1213" s="1"/>
      <c r="AR1213" s="1"/>
      <c r="AS1213" s="1"/>
      <c r="AT1213" s="1"/>
    </row>
    <row r="1214" spans="1:58" x14ac:dyDescent="0.15">
      <c r="A1214" s="2" t="s">
        <v>202</v>
      </c>
      <c r="B1214" s="2" t="s">
        <v>3936</v>
      </c>
      <c r="C1214" s="2" t="s">
        <v>3497</v>
      </c>
      <c r="D1214" s="2" t="s">
        <v>747</v>
      </c>
      <c r="E1214" s="1"/>
      <c r="F1214" s="2" t="s">
        <v>374</v>
      </c>
      <c r="G1214" s="2" t="s">
        <v>374</v>
      </c>
      <c r="H1214" s="2" t="str">
        <f t="shared" si="44"/>
        <v>C</v>
      </c>
      <c r="I1214" s="5"/>
      <c r="J1214" s="5"/>
      <c r="K1214" s="5">
        <v>8.5</v>
      </c>
      <c r="L1214" s="5"/>
      <c r="M1214" s="2" t="s">
        <v>571</v>
      </c>
      <c r="N1214" s="5"/>
      <c r="O1214" s="5"/>
      <c r="P1214" s="5"/>
      <c r="R1214" s="5"/>
      <c r="S1214" s="5"/>
      <c r="V1214" s="5"/>
      <c r="W1214" s="6" t="s">
        <v>4104</v>
      </c>
      <c r="AO1214" s="1"/>
      <c r="AP1214" s="1"/>
      <c r="AQ1214" s="1"/>
      <c r="AR1214" s="1"/>
      <c r="AS1214" s="1"/>
      <c r="AT1214" s="1"/>
    </row>
    <row r="1215" spans="1:58" x14ac:dyDescent="0.15">
      <c r="A1215" s="2" t="s">
        <v>202</v>
      </c>
      <c r="B1215" s="2" t="s">
        <v>3936</v>
      </c>
      <c r="C1215" s="2" t="s">
        <v>3497</v>
      </c>
      <c r="D1215" s="2" t="s">
        <v>747</v>
      </c>
      <c r="E1215" s="1"/>
      <c r="F1215" s="2" t="s">
        <v>374</v>
      </c>
      <c r="G1215" s="2" t="s">
        <v>374</v>
      </c>
      <c r="H1215" s="2" t="str">
        <f t="shared" si="44"/>
        <v>C</v>
      </c>
      <c r="I1215" s="5"/>
      <c r="J1215" s="5"/>
      <c r="K1215" s="5"/>
      <c r="L1215" s="7">
        <v>1</v>
      </c>
      <c r="M1215" s="2" t="s">
        <v>571</v>
      </c>
      <c r="N1215" s="5">
        <v>67.8</v>
      </c>
      <c r="O1215" s="5">
        <v>33</v>
      </c>
      <c r="P1215" s="5">
        <v>43.98</v>
      </c>
      <c r="Q1215" s="2" t="s">
        <v>376</v>
      </c>
      <c r="R1215" s="5">
        <v>43.98</v>
      </c>
      <c r="S1215" s="5"/>
      <c r="V1215" s="5"/>
      <c r="W1215" s="6" t="s">
        <v>2001</v>
      </c>
      <c r="AH1215" s="1"/>
      <c r="AI1215" s="1"/>
      <c r="AJ1215" s="1"/>
      <c r="AK1215" s="1"/>
      <c r="AL1215" s="1"/>
      <c r="AM1215" s="1"/>
      <c r="AN1215" s="1"/>
    </row>
    <row r="1216" spans="1:58" x14ac:dyDescent="0.15">
      <c r="A1216" s="2" t="s">
        <v>202</v>
      </c>
      <c r="B1216" s="2" t="s">
        <v>3935</v>
      </c>
      <c r="C1216" s="2" t="s">
        <v>3498</v>
      </c>
      <c r="D1216" s="2" t="s">
        <v>748</v>
      </c>
      <c r="E1216" s="1"/>
      <c r="F1216" s="2" t="s">
        <v>29</v>
      </c>
      <c r="G1216" s="2" t="s">
        <v>838</v>
      </c>
      <c r="H1216" s="2" t="str">
        <f t="shared" si="44"/>
        <v>W</v>
      </c>
      <c r="I1216" s="5"/>
      <c r="J1216" s="5"/>
      <c r="K1216" s="5"/>
      <c r="L1216" s="5"/>
      <c r="M1216" s="4" t="s">
        <v>571</v>
      </c>
      <c r="N1216" s="5"/>
      <c r="O1216" s="5"/>
      <c r="P1216" s="5"/>
      <c r="R1216" s="5"/>
      <c r="S1216" s="5"/>
      <c r="V1216" s="5"/>
      <c r="W1216" s="6" t="s">
        <v>838</v>
      </c>
    </row>
    <row r="1217" spans="1:33" x14ac:dyDescent="0.15">
      <c r="A1217" s="1" t="s">
        <v>202</v>
      </c>
      <c r="B1217" s="2" t="s">
        <v>3935</v>
      </c>
      <c r="C1217" s="1" t="s">
        <v>3498</v>
      </c>
      <c r="D1217" s="2" t="s">
        <v>749</v>
      </c>
      <c r="E1217" s="1"/>
      <c r="F1217" s="1" t="s">
        <v>374</v>
      </c>
      <c r="G1217" s="1" t="s">
        <v>374</v>
      </c>
      <c r="H1217" s="2" t="str">
        <f t="shared" si="44"/>
        <v>C</v>
      </c>
      <c r="I1217" s="8">
        <v>16</v>
      </c>
      <c r="J1217" s="8">
        <v>834</v>
      </c>
      <c r="K1217" s="8"/>
      <c r="L1217" s="8">
        <v>2</v>
      </c>
      <c r="M1217" s="4" t="s">
        <v>571</v>
      </c>
      <c r="N1217" s="8">
        <v>46</v>
      </c>
      <c r="O1217" s="8">
        <v>21.5</v>
      </c>
      <c r="P1217" s="8">
        <v>15</v>
      </c>
      <c r="Q1217" s="1" t="s">
        <v>18</v>
      </c>
      <c r="R1217" s="8">
        <v>30</v>
      </c>
      <c r="S1217" s="8">
        <v>3.597</v>
      </c>
      <c r="T1217" s="1">
        <v>2</v>
      </c>
      <c r="U1217" s="2" t="str">
        <f>IF(T1217&lt;=1, "1",IF(AND(T1217&gt;1,T1217&lt;4), "2-3", "+4"))</f>
        <v>2-3</v>
      </c>
      <c r="V1217" s="8">
        <v>7.194</v>
      </c>
      <c r="W1217" s="6" t="s">
        <v>3863</v>
      </c>
    </row>
    <row r="1218" spans="1:33" x14ac:dyDescent="0.15">
      <c r="A1218" s="2" t="s">
        <v>202</v>
      </c>
      <c r="B1218" s="2" t="s">
        <v>3935</v>
      </c>
      <c r="C1218" s="2" t="s">
        <v>3498</v>
      </c>
      <c r="D1218" s="2" t="s">
        <v>749</v>
      </c>
      <c r="E1218" s="1"/>
      <c r="F1218" s="2" t="s">
        <v>2439</v>
      </c>
      <c r="H1218" s="2" t="s">
        <v>3887</v>
      </c>
      <c r="I1218" s="5">
        <v>14.9</v>
      </c>
      <c r="J1218" s="5">
        <f xml:space="preserve"> 0.00002451*(I1218*10)^3.3733</f>
        <v>524.99183674918424</v>
      </c>
      <c r="K1218" s="5"/>
      <c r="L1218" s="5"/>
      <c r="M1218" s="4" t="s">
        <v>571</v>
      </c>
      <c r="N1218" s="5"/>
      <c r="O1218" s="5"/>
      <c r="P1218" s="5"/>
      <c r="R1218" s="5"/>
      <c r="S1218" s="5"/>
      <c r="V1218" s="5"/>
      <c r="W1218" s="6" t="s">
        <v>2013</v>
      </c>
    </row>
    <row r="1219" spans="1:33" x14ac:dyDescent="0.15">
      <c r="A1219" s="2" t="s">
        <v>202</v>
      </c>
      <c r="B1219" s="2" t="s">
        <v>3935</v>
      </c>
      <c r="C1219" s="2" t="s">
        <v>3498</v>
      </c>
      <c r="D1219" s="2" t="s">
        <v>749</v>
      </c>
      <c r="E1219" s="1"/>
      <c r="F1219" s="2" t="s">
        <v>374</v>
      </c>
      <c r="G1219" s="2" t="s">
        <v>374</v>
      </c>
      <c r="H1219" s="2" t="str">
        <f t="shared" si="44"/>
        <v>C</v>
      </c>
      <c r="I1219" s="5"/>
      <c r="J1219" s="5">
        <v>864</v>
      </c>
      <c r="K1219" s="5"/>
      <c r="L1219" s="5">
        <v>2</v>
      </c>
      <c r="M1219" s="4" t="s">
        <v>571</v>
      </c>
      <c r="N1219" s="5">
        <v>46</v>
      </c>
      <c r="O1219" s="5">
        <v>21.5</v>
      </c>
      <c r="P1219" s="5">
        <v>15</v>
      </c>
      <c r="Q1219" s="2" t="s">
        <v>18</v>
      </c>
      <c r="R1219" s="5">
        <v>30</v>
      </c>
      <c r="S1219" s="5">
        <v>3.47</v>
      </c>
      <c r="T1219" s="2" t="s">
        <v>372</v>
      </c>
      <c r="U1219" s="40" t="s">
        <v>395</v>
      </c>
      <c r="V1219" s="5"/>
      <c r="W1219" s="6" t="s">
        <v>2014</v>
      </c>
      <c r="AC1219" s="1"/>
      <c r="AD1219" s="1"/>
      <c r="AE1219" s="1"/>
      <c r="AF1219" s="1"/>
      <c r="AG1219" s="1"/>
    </row>
    <row r="1220" spans="1:33" x14ac:dyDescent="0.15">
      <c r="A1220" s="2" t="s">
        <v>202</v>
      </c>
      <c r="B1220" s="2" t="s">
        <v>3935</v>
      </c>
      <c r="C1220" s="2" t="s">
        <v>3498</v>
      </c>
      <c r="D1220" s="2" t="s">
        <v>749</v>
      </c>
      <c r="E1220" s="1"/>
      <c r="F1220" s="2" t="s">
        <v>2440</v>
      </c>
      <c r="H1220" s="2" t="s">
        <v>3887</v>
      </c>
      <c r="I1220" s="5"/>
      <c r="J1220" s="5"/>
      <c r="K1220" s="7"/>
      <c r="L1220" s="5"/>
      <c r="M1220" s="4" t="s">
        <v>571</v>
      </c>
      <c r="N1220" s="5">
        <v>32</v>
      </c>
      <c r="O1220" s="5">
        <v>20</v>
      </c>
      <c r="P1220" s="5">
        <v>7.7489999999999997</v>
      </c>
      <c r="Q1220" s="2" t="s">
        <v>376</v>
      </c>
      <c r="R1220" s="5"/>
      <c r="S1220" s="5"/>
      <c r="V1220" s="5"/>
      <c r="W1220" s="6" t="s">
        <v>2800</v>
      </c>
    </row>
    <row r="1221" spans="1:33" x14ac:dyDescent="0.15">
      <c r="A1221" s="2" t="s">
        <v>202</v>
      </c>
      <c r="B1221" s="2" t="s">
        <v>3935</v>
      </c>
      <c r="C1221" s="2" t="s">
        <v>3498</v>
      </c>
      <c r="D1221" s="2" t="s">
        <v>749</v>
      </c>
      <c r="E1221" s="1"/>
      <c r="F1221" s="2" t="s">
        <v>212</v>
      </c>
      <c r="H1221" s="2" t="s">
        <v>3887</v>
      </c>
      <c r="I1221" s="5"/>
      <c r="J1221" s="5"/>
      <c r="K1221" s="5"/>
      <c r="L1221" s="5">
        <f>MEDIAN(5,10)</f>
        <v>7.5</v>
      </c>
      <c r="M1221" s="2" t="s">
        <v>571</v>
      </c>
      <c r="N1221" s="5"/>
      <c r="O1221" s="5"/>
      <c r="P1221" s="5"/>
      <c r="R1221" s="5"/>
      <c r="S1221" s="5"/>
      <c r="V1221" s="5"/>
      <c r="W1221" s="6" t="s">
        <v>3869</v>
      </c>
      <c r="Y1221" s="1"/>
      <c r="Z1221" s="1"/>
      <c r="AA1221" s="1"/>
      <c r="AB1221" s="1"/>
    </row>
    <row r="1222" spans="1:33" x14ac:dyDescent="0.15">
      <c r="A1222" s="2" t="s">
        <v>202</v>
      </c>
      <c r="B1222" s="2" t="s">
        <v>3935</v>
      </c>
      <c r="C1222" s="2" t="s">
        <v>3498</v>
      </c>
      <c r="D1222" s="2" t="s">
        <v>749</v>
      </c>
      <c r="E1222" s="1"/>
      <c r="F1222" s="2" t="s">
        <v>213</v>
      </c>
      <c r="G1222" s="2">
        <v>14.5</v>
      </c>
      <c r="H1222" s="2" t="str">
        <f t="shared" si="44"/>
        <v>W</v>
      </c>
      <c r="I1222" s="5"/>
      <c r="J1222" s="5"/>
      <c r="K1222" s="5"/>
      <c r="L1222" s="5">
        <v>5.65</v>
      </c>
      <c r="M1222" s="4" t="s">
        <v>571</v>
      </c>
      <c r="N1222" s="5"/>
      <c r="O1222" s="5"/>
      <c r="P1222" s="5"/>
      <c r="R1222" s="5"/>
      <c r="S1222" s="5"/>
      <c r="V1222" s="5"/>
      <c r="W1222" s="6" t="s">
        <v>2012</v>
      </c>
    </row>
    <row r="1223" spans="1:33" x14ac:dyDescent="0.15">
      <c r="A1223" s="2" t="s">
        <v>202</v>
      </c>
      <c r="B1223" s="2" t="s">
        <v>3935</v>
      </c>
      <c r="C1223" s="2" t="s">
        <v>3498</v>
      </c>
      <c r="D1223" s="2" t="s">
        <v>749</v>
      </c>
      <c r="E1223" s="1"/>
      <c r="F1223" s="2" t="s">
        <v>868</v>
      </c>
      <c r="G1223" s="2">
        <v>8</v>
      </c>
      <c r="H1223" s="2" t="str">
        <f t="shared" si="44"/>
        <v>W</v>
      </c>
      <c r="I1223" s="5">
        <v>15.55</v>
      </c>
      <c r="J1223" s="5">
        <f xml:space="preserve"> 0.00002451*(I1223*10)^3.3733</f>
        <v>606.3277527865107</v>
      </c>
      <c r="K1223" s="5"/>
      <c r="L1223" s="5">
        <v>3.86</v>
      </c>
      <c r="M1223" s="4" t="s">
        <v>571</v>
      </c>
      <c r="N1223" s="5">
        <v>40.01</v>
      </c>
      <c r="O1223" s="5"/>
      <c r="P1223" s="5">
        <v>10.78</v>
      </c>
      <c r="Q1223" s="2" t="s">
        <v>18</v>
      </c>
      <c r="R1223" s="5">
        <v>41.6</v>
      </c>
      <c r="S1223" s="5">
        <f>(R1223/J1223)*100</f>
        <v>6.8609757361127173</v>
      </c>
      <c r="V1223" s="5"/>
      <c r="W1223" s="6" t="s">
        <v>2801</v>
      </c>
    </row>
    <row r="1224" spans="1:33" x14ac:dyDescent="0.15">
      <c r="A1224" s="2" t="s">
        <v>202</v>
      </c>
      <c r="B1224" s="2" t="s">
        <v>3935</v>
      </c>
      <c r="C1224" s="2" t="s">
        <v>3498</v>
      </c>
      <c r="D1224" s="2" t="s">
        <v>749</v>
      </c>
      <c r="E1224" s="1"/>
      <c r="F1224" s="2" t="s">
        <v>868</v>
      </c>
      <c r="G1224" s="2">
        <v>14.4</v>
      </c>
      <c r="H1224" s="2" t="str">
        <f t="shared" si="44"/>
        <v>W</v>
      </c>
      <c r="I1224" s="5"/>
      <c r="J1224" s="5">
        <v>869.33</v>
      </c>
      <c r="K1224" s="5"/>
      <c r="L1224" s="5">
        <v>6</v>
      </c>
      <c r="M1224" s="4" t="s">
        <v>571</v>
      </c>
      <c r="N1224" s="5">
        <v>38.869999999999997</v>
      </c>
      <c r="O1224" s="5">
        <v>22.92</v>
      </c>
      <c r="P1224" s="5">
        <v>12.2</v>
      </c>
      <c r="Q1224" s="2" t="s">
        <v>18</v>
      </c>
      <c r="R1224" s="5">
        <v>73.2</v>
      </c>
      <c r="S1224" s="5">
        <f>(R1224/J1224)*100</f>
        <v>8.4202776851138239</v>
      </c>
      <c r="V1224" s="5"/>
      <c r="W1224" s="6" t="s">
        <v>4035</v>
      </c>
    </row>
    <row r="1225" spans="1:33" x14ac:dyDescent="0.15">
      <c r="A1225" s="2" t="s">
        <v>202</v>
      </c>
      <c r="B1225" s="2" t="s">
        <v>3935</v>
      </c>
      <c r="C1225" s="2" t="s">
        <v>3498</v>
      </c>
      <c r="D1225" s="2" t="s">
        <v>750</v>
      </c>
      <c r="E1225" s="1"/>
      <c r="F1225" s="2" t="s">
        <v>2752</v>
      </c>
      <c r="H1225" s="2" t="s">
        <v>3887</v>
      </c>
      <c r="I1225" s="5"/>
      <c r="J1225" s="5"/>
      <c r="K1225" s="5"/>
      <c r="L1225" s="5"/>
      <c r="M1225" s="4" t="s">
        <v>571</v>
      </c>
      <c r="N1225" s="5">
        <v>32</v>
      </c>
      <c r="O1225" s="5">
        <v>20</v>
      </c>
      <c r="P1225" s="5">
        <v>7.7489999999999997</v>
      </c>
      <c r="Q1225" s="2" t="s">
        <v>376</v>
      </c>
      <c r="R1225" s="5"/>
      <c r="S1225" s="5"/>
      <c r="V1225" s="5"/>
      <c r="W1225" s="6" t="s">
        <v>2800</v>
      </c>
    </row>
    <row r="1226" spans="1:33" x14ac:dyDescent="0.15">
      <c r="A1226" s="2" t="s">
        <v>202</v>
      </c>
      <c r="B1226" s="2" t="s">
        <v>3935</v>
      </c>
      <c r="C1226" s="2" t="s">
        <v>3498</v>
      </c>
      <c r="D1226" s="2" t="s">
        <v>750</v>
      </c>
      <c r="E1226" s="1"/>
      <c r="F1226" s="2" t="s">
        <v>3906</v>
      </c>
      <c r="G1226" s="2">
        <v>13</v>
      </c>
      <c r="H1226" s="2" t="str">
        <f t="shared" si="44"/>
        <v>W</v>
      </c>
      <c r="I1226" s="5">
        <v>15.8</v>
      </c>
      <c r="J1226" s="5">
        <f xml:space="preserve"> 0.00002451*(I1226*10)^3.3733</f>
        <v>639.84276372261513</v>
      </c>
      <c r="K1226" s="5"/>
      <c r="L1226" s="5">
        <v>5.8</v>
      </c>
      <c r="M1226" s="4" t="s">
        <v>571</v>
      </c>
      <c r="N1226" s="5">
        <v>41.2</v>
      </c>
      <c r="O1226" s="5">
        <v>23.8</v>
      </c>
      <c r="P1226" s="5">
        <v>15.1</v>
      </c>
      <c r="Q1226" s="2" t="s">
        <v>18</v>
      </c>
      <c r="R1226" s="5">
        <v>88.6</v>
      </c>
      <c r="S1226" s="5">
        <f>(R1226/J1226)*100</f>
        <v>13.847151991611787</v>
      </c>
      <c r="V1226" s="5"/>
      <c r="W1226" s="6" t="s">
        <v>2015</v>
      </c>
    </row>
    <row r="1227" spans="1:33" x14ac:dyDescent="0.15">
      <c r="A1227" s="2" t="s">
        <v>202</v>
      </c>
      <c r="B1227" s="2" t="s">
        <v>3936</v>
      </c>
      <c r="C1227" s="2" t="s">
        <v>929</v>
      </c>
      <c r="D1227" s="2" t="s">
        <v>751</v>
      </c>
      <c r="E1227" s="1"/>
      <c r="F1227" s="2" t="s">
        <v>374</v>
      </c>
      <c r="G1227" s="2" t="s">
        <v>374</v>
      </c>
      <c r="H1227" s="2" t="str">
        <f t="shared" si="44"/>
        <v>C</v>
      </c>
      <c r="I1227" s="5">
        <v>18.47</v>
      </c>
      <c r="J1227" s="5">
        <v>911.67</v>
      </c>
      <c r="K1227" s="5"/>
      <c r="L1227" s="5">
        <v>5.57</v>
      </c>
      <c r="M1227" s="22" t="s">
        <v>571</v>
      </c>
      <c r="N1227" s="5">
        <v>39.5</v>
      </c>
      <c r="O1227" s="5">
        <v>20.5</v>
      </c>
      <c r="P1227" s="5">
        <v>11.5</v>
      </c>
      <c r="Q1227" s="2" t="s">
        <v>18</v>
      </c>
      <c r="R1227" s="5">
        <v>64.069999999999993</v>
      </c>
      <c r="S1227" s="5">
        <v>7.0270000000000001</v>
      </c>
      <c r="T1227" s="5">
        <v>2</v>
      </c>
      <c r="U1227" s="2" t="str">
        <f>IF(T1227&lt;=1, "1",IF(AND(T1227&gt;1,T1227&lt;4), "2-3", "+4"))</f>
        <v>2-3</v>
      </c>
      <c r="V1227" s="5">
        <f>S1227*T1227</f>
        <v>14.054</v>
      </c>
      <c r="W1227" s="6" t="s">
        <v>2526</v>
      </c>
    </row>
    <row r="1228" spans="1:33" x14ac:dyDescent="0.15">
      <c r="A1228" s="2" t="s">
        <v>202</v>
      </c>
      <c r="B1228" s="2" t="s">
        <v>3936</v>
      </c>
      <c r="C1228" s="2" t="s">
        <v>929</v>
      </c>
      <c r="D1228" s="2" t="s">
        <v>751</v>
      </c>
      <c r="E1228" s="1"/>
      <c r="F1228" s="2" t="s">
        <v>374</v>
      </c>
      <c r="G1228" s="2" t="s">
        <v>374</v>
      </c>
      <c r="H1228" s="2" t="str">
        <f t="shared" si="44"/>
        <v>C</v>
      </c>
      <c r="I1228" s="5"/>
      <c r="J1228" s="5"/>
      <c r="K1228" s="5"/>
      <c r="L1228" s="5">
        <v>2.8</v>
      </c>
      <c r="M1228" s="22" t="s">
        <v>571</v>
      </c>
      <c r="N1228" s="5">
        <v>43.71</v>
      </c>
      <c r="O1228" s="5">
        <v>23.23</v>
      </c>
      <c r="P1228" s="5">
        <v>14.31</v>
      </c>
      <c r="Q1228" s="2" t="s">
        <v>18</v>
      </c>
      <c r="R1228" s="5">
        <v>40.07</v>
      </c>
      <c r="S1228" s="5"/>
      <c r="V1228" s="5"/>
      <c r="W1228" s="6" t="s">
        <v>2510</v>
      </c>
    </row>
    <row r="1229" spans="1:33" x14ac:dyDescent="0.15">
      <c r="A1229" s="2" t="s">
        <v>202</v>
      </c>
      <c r="B1229" s="2" t="s">
        <v>3936</v>
      </c>
      <c r="C1229" s="2" t="s">
        <v>929</v>
      </c>
      <c r="D1229" s="2" t="s">
        <v>751</v>
      </c>
      <c r="E1229" s="1"/>
      <c r="F1229" s="2" t="s">
        <v>374</v>
      </c>
      <c r="G1229" s="2" t="s">
        <v>374</v>
      </c>
      <c r="H1229" s="2" t="str">
        <f t="shared" si="44"/>
        <v>C</v>
      </c>
      <c r="I1229" s="5">
        <v>21.55</v>
      </c>
      <c r="J1229" s="5">
        <v>1731</v>
      </c>
      <c r="K1229" s="5"/>
      <c r="L1229" s="5">
        <v>6.99</v>
      </c>
      <c r="M1229" s="22" t="s">
        <v>571</v>
      </c>
      <c r="N1229" s="5"/>
      <c r="O1229" s="5"/>
      <c r="P1229" s="5"/>
      <c r="R1229" s="5"/>
      <c r="S1229" s="5"/>
      <c r="T1229" s="2">
        <v>2</v>
      </c>
      <c r="U1229" s="2" t="str">
        <f>IF(T1229&lt;=1, "1",IF(AND(T1229&gt;1,T1229&lt;4), "2-3", "+4"))</f>
        <v>2-3</v>
      </c>
      <c r="V1229" s="5"/>
      <c r="W1229" s="6" t="s">
        <v>2510</v>
      </c>
    </row>
    <row r="1230" spans="1:33" x14ac:dyDescent="0.15">
      <c r="A1230" s="2" t="s">
        <v>202</v>
      </c>
      <c r="B1230" s="2" t="s">
        <v>3936</v>
      </c>
      <c r="C1230" s="2" t="s">
        <v>929</v>
      </c>
      <c r="D1230" s="2" t="s">
        <v>751</v>
      </c>
      <c r="E1230" s="1"/>
      <c r="F1230" s="2" t="s">
        <v>374</v>
      </c>
      <c r="G1230" s="2" t="s">
        <v>374</v>
      </c>
      <c r="H1230" s="2" t="str">
        <f t="shared" si="44"/>
        <v>C</v>
      </c>
      <c r="I1230" s="5">
        <v>19.11</v>
      </c>
      <c r="J1230" s="5">
        <v>109.36</v>
      </c>
      <c r="K1230" s="5"/>
      <c r="L1230" s="5"/>
      <c r="M1230" s="22" t="s">
        <v>571</v>
      </c>
      <c r="N1230" s="5"/>
      <c r="O1230" s="5"/>
      <c r="P1230" s="5"/>
      <c r="R1230" s="5"/>
      <c r="S1230" s="5"/>
      <c r="V1230" s="5"/>
      <c r="W1230" s="6" t="s">
        <v>2803</v>
      </c>
    </row>
    <row r="1231" spans="1:33" x14ac:dyDescent="0.15">
      <c r="A1231" s="2" t="s">
        <v>202</v>
      </c>
      <c r="B1231" s="2" t="s">
        <v>3936</v>
      </c>
      <c r="C1231" s="2" t="s">
        <v>929</v>
      </c>
      <c r="D1231" s="2" t="s">
        <v>751</v>
      </c>
      <c r="E1231" s="1"/>
      <c r="F1231" s="2" t="s">
        <v>910</v>
      </c>
      <c r="G1231" s="2">
        <v>16</v>
      </c>
      <c r="H1231" s="2" t="str">
        <f t="shared" si="44"/>
        <v>W</v>
      </c>
      <c r="I1231" s="5">
        <v>21.2</v>
      </c>
      <c r="J1231" s="5">
        <v>1717</v>
      </c>
      <c r="K1231" s="5">
        <v>6</v>
      </c>
      <c r="L1231" s="5">
        <v>5.5</v>
      </c>
      <c r="M1231" s="22" t="s">
        <v>571</v>
      </c>
      <c r="N1231" s="5">
        <v>45.3</v>
      </c>
      <c r="O1231" s="5">
        <v>23.6</v>
      </c>
      <c r="P1231" s="5">
        <v>15.5</v>
      </c>
      <c r="Q1231" s="2" t="s">
        <v>18</v>
      </c>
      <c r="R1231" s="5">
        <f>P1231*L1231</f>
        <v>85.25</v>
      </c>
      <c r="S1231" s="5">
        <f>(R1231/J1231)*100</f>
        <v>4.9650553290623183</v>
      </c>
      <c r="T1231" s="5">
        <f>MEDIAN(1,4)</f>
        <v>2.5</v>
      </c>
      <c r="U1231" s="2" t="str">
        <f>IF(T1231&lt;=1, "1",IF(AND(T1231&gt;1,T1231&lt;4), "2-3", "+4"))</f>
        <v>2-3</v>
      </c>
      <c r="V1231" s="5">
        <f>S1231*T1231</f>
        <v>12.412638322655795</v>
      </c>
      <c r="W1231" s="6" t="s">
        <v>2016</v>
      </c>
    </row>
    <row r="1232" spans="1:33" x14ac:dyDescent="0.15">
      <c r="A1232" s="2" t="s">
        <v>202</v>
      </c>
      <c r="B1232" s="2" t="s">
        <v>3936</v>
      </c>
      <c r="C1232" s="2" t="s">
        <v>929</v>
      </c>
      <c r="D1232" s="2" t="s">
        <v>751</v>
      </c>
      <c r="E1232" s="1"/>
      <c r="F1232" s="2" t="s">
        <v>374</v>
      </c>
      <c r="G1232" s="2" t="s">
        <v>374</v>
      </c>
      <c r="H1232" s="2" t="str">
        <f t="shared" si="44"/>
        <v>C</v>
      </c>
      <c r="I1232" s="5"/>
      <c r="J1232" s="5"/>
      <c r="K1232" s="5"/>
      <c r="L1232" s="5">
        <v>3</v>
      </c>
      <c r="M1232" s="22" t="s">
        <v>571</v>
      </c>
      <c r="N1232" s="5">
        <v>42.67</v>
      </c>
      <c r="O1232" s="5">
        <v>22.83</v>
      </c>
      <c r="P1232" s="5">
        <v>14.25</v>
      </c>
      <c r="Q1232" s="2" t="s">
        <v>376</v>
      </c>
      <c r="R1232" s="5">
        <v>42.75</v>
      </c>
      <c r="S1232" s="5"/>
      <c r="V1232" s="5"/>
      <c r="W1232" s="6" t="s">
        <v>2775</v>
      </c>
    </row>
    <row r="1233" spans="1:23" x14ac:dyDescent="0.15">
      <c r="A1233" s="2" t="s">
        <v>202</v>
      </c>
      <c r="B1233" s="2" t="s">
        <v>3936</v>
      </c>
      <c r="C1233" s="2" t="s">
        <v>929</v>
      </c>
      <c r="D1233" s="2" t="s">
        <v>751</v>
      </c>
      <c r="E1233" s="1"/>
      <c r="F1233" s="2" t="s">
        <v>374</v>
      </c>
      <c r="G1233" s="2" t="s">
        <v>374</v>
      </c>
      <c r="H1233" s="2" t="str">
        <f t="shared" si="44"/>
        <v>C</v>
      </c>
      <c r="I1233" s="5"/>
      <c r="J1233" s="5"/>
      <c r="K1233" s="5"/>
      <c r="L1233" s="7">
        <f>MEDIAN(1,4)</f>
        <v>2.5</v>
      </c>
      <c r="M1233" s="22" t="s">
        <v>571</v>
      </c>
      <c r="N1233" s="5">
        <v>41.33</v>
      </c>
      <c r="O1233" s="5">
        <v>22.6</v>
      </c>
      <c r="P1233" s="5">
        <v>13.25</v>
      </c>
      <c r="Q1233" s="2" t="s">
        <v>18</v>
      </c>
      <c r="R1233" s="5">
        <f>P1233*L1233</f>
        <v>33.125</v>
      </c>
      <c r="S1233" s="5"/>
      <c r="T1233" s="7">
        <f>MEDIAN(1,2)</f>
        <v>1.5</v>
      </c>
      <c r="U1233" s="2" t="str">
        <f>IF(T1233&lt;=1, "1",IF(AND(T1233&gt;1,T1233&lt;4), "2-3", "+4"))</f>
        <v>2-3</v>
      </c>
      <c r="V1233" s="5"/>
      <c r="W1233" s="6" t="s">
        <v>2001</v>
      </c>
    </row>
    <row r="1234" spans="1:23" x14ac:dyDescent="0.15">
      <c r="A1234" s="2" t="s">
        <v>202</v>
      </c>
      <c r="B1234" s="2" t="s">
        <v>3936</v>
      </c>
      <c r="C1234" s="2" t="s">
        <v>929</v>
      </c>
      <c r="D1234" s="2" t="s">
        <v>751</v>
      </c>
      <c r="E1234" s="1"/>
      <c r="F1234" s="2" t="s">
        <v>374</v>
      </c>
      <c r="G1234" s="2" t="s">
        <v>374</v>
      </c>
      <c r="H1234" s="2" t="str">
        <f t="shared" si="44"/>
        <v>C</v>
      </c>
      <c r="I1234" s="5"/>
      <c r="J1234" s="5"/>
      <c r="K1234" s="5"/>
      <c r="L1234" s="5">
        <v>6.3</v>
      </c>
      <c r="M1234" s="22" t="s">
        <v>571</v>
      </c>
      <c r="N1234" s="5">
        <v>38.799999999999997</v>
      </c>
      <c r="O1234" s="5">
        <v>21.9</v>
      </c>
      <c r="P1234" s="5">
        <v>11.6</v>
      </c>
      <c r="Q1234" s="2" t="s">
        <v>18</v>
      </c>
      <c r="R1234" s="5">
        <v>73.08</v>
      </c>
      <c r="S1234" s="5"/>
      <c r="T1234" s="2" t="s">
        <v>410</v>
      </c>
      <c r="U1234" s="40" t="s">
        <v>395</v>
      </c>
      <c r="V1234" s="5"/>
      <c r="W1234" s="6" t="s">
        <v>2802</v>
      </c>
    </row>
    <row r="1235" spans="1:23" x14ac:dyDescent="0.15">
      <c r="A1235" s="2" t="s">
        <v>202</v>
      </c>
      <c r="B1235" s="2" t="s">
        <v>3936</v>
      </c>
      <c r="C1235" s="2" t="s">
        <v>929</v>
      </c>
      <c r="D1235" s="2" t="s">
        <v>752</v>
      </c>
      <c r="E1235" s="1"/>
      <c r="F1235" s="2" t="s">
        <v>371</v>
      </c>
      <c r="H1235" s="2" t="s">
        <v>3887</v>
      </c>
      <c r="I1235" s="5"/>
      <c r="J1235" s="5"/>
      <c r="K1235" s="5"/>
      <c r="L1235" s="5">
        <f>MEDIAN(4,6)</f>
        <v>5</v>
      </c>
      <c r="M1235" s="22" t="s">
        <v>571</v>
      </c>
      <c r="N1235" s="5">
        <f>MEDIAN(35,40)</f>
        <v>37.5</v>
      </c>
      <c r="O1235" s="5">
        <f>MEDIAN(20,30)</f>
        <v>25</v>
      </c>
      <c r="P1235" s="5"/>
      <c r="R1235" s="5"/>
      <c r="S1235" s="5"/>
      <c r="V1235" s="5"/>
      <c r="W1235" s="6" t="s">
        <v>1938</v>
      </c>
    </row>
    <row r="1236" spans="1:23" x14ac:dyDescent="0.15">
      <c r="A1236" s="2" t="s">
        <v>202</v>
      </c>
      <c r="B1236" s="2" t="s">
        <v>3936</v>
      </c>
      <c r="C1236" s="2" t="s">
        <v>929</v>
      </c>
      <c r="D1236" s="2" t="s">
        <v>752</v>
      </c>
      <c r="E1236" s="1"/>
      <c r="F1236" s="2" t="s">
        <v>2441</v>
      </c>
      <c r="G1236" s="2">
        <v>26.57</v>
      </c>
      <c r="H1236" s="2" t="str">
        <f t="shared" si="44"/>
        <v>W</v>
      </c>
      <c r="I1236" s="5">
        <v>18.97</v>
      </c>
      <c r="J1236" s="5">
        <v>771.4</v>
      </c>
      <c r="K1236" s="5"/>
      <c r="L1236" s="5">
        <v>6</v>
      </c>
      <c r="M1236" s="22" t="s">
        <v>571</v>
      </c>
      <c r="N1236" s="5">
        <v>39.6</v>
      </c>
      <c r="O1236" s="5">
        <v>23.6</v>
      </c>
      <c r="P1236" s="5">
        <v>13.34</v>
      </c>
      <c r="Q1236" s="2" t="s">
        <v>376</v>
      </c>
      <c r="R1236" s="5">
        <v>80.06</v>
      </c>
      <c r="S1236" s="5">
        <v>10.38</v>
      </c>
      <c r="T1236" s="9">
        <f>MEDIAN(2,3)</f>
        <v>2.5</v>
      </c>
      <c r="U1236" s="2" t="str">
        <f>IF(T1236&lt;=1, "1",IF(AND(T1236&gt;1,T1236&lt;4), "2-3", "+4"))</f>
        <v>2-3</v>
      </c>
      <c r="V1236" s="5">
        <f>S1236*T1236</f>
        <v>25.950000000000003</v>
      </c>
      <c r="W1236" s="6" t="s">
        <v>2017</v>
      </c>
    </row>
    <row r="1237" spans="1:23" x14ac:dyDescent="0.15">
      <c r="A1237" s="1" t="s">
        <v>202</v>
      </c>
      <c r="B1237" s="2" t="s">
        <v>3936</v>
      </c>
      <c r="C1237" s="2" t="s">
        <v>929</v>
      </c>
      <c r="D1237" s="1" t="s">
        <v>752</v>
      </c>
      <c r="E1237" s="1"/>
      <c r="F1237" s="1" t="s">
        <v>374</v>
      </c>
      <c r="G1237" s="1" t="s">
        <v>374</v>
      </c>
      <c r="H1237" s="2" t="str">
        <f t="shared" si="44"/>
        <v>C</v>
      </c>
      <c r="I1237" s="8">
        <v>20.5</v>
      </c>
      <c r="J1237" s="8">
        <v>1282.5</v>
      </c>
      <c r="K1237" s="8"/>
      <c r="L1237" s="8">
        <v>8.5</v>
      </c>
      <c r="M1237" s="22" t="s">
        <v>571</v>
      </c>
      <c r="N1237" s="8">
        <v>34.9</v>
      </c>
      <c r="O1237" s="8">
        <v>20.9</v>
      </c>
      <c r="P1237" s="8">
        <v>8.1300000000000008</v>
      </c>
      <c r="Q1237" s="1" t="s">
        <v>18</v>
      </c>
      <c r="R1237" s="8">
        <v>69.105000000000004</v>
      </c>
      <c r="S1237" s="8">
        <v>5.3879999999999999</v>
      </c>
      <c r="T1237" s="7">
        <f>MEDIAN(1,2)</f>
        <v>1.5</v>
      </c>
      <c r="U1237" s="2" t="str">
        <f>IF(T1237&lt;=1, "1",IF(AND(T1237&gt;1,T1237&lt;4), "2-3", "+4"))</f>
        <v>2-3</v>
      </c>
      <c r="V1237" s="5">
        <f>S1237*T1237</f>
        <v>8.0820000000000007</v>
      </c>
      <c r="W1237" s="6" t="s">
        <v>3591</v>
      </c>
    </row>
    <row r="1238" spans="1:23" x14ac:dyDescent="0.15">
      <c r="A1238" s="2" t="s">
        <v>202</v>
      </c>
      <c r="B1238" s="2" t="s">
        <v>3936</v>
      </c>
      <c r="C1238" s="2" t="s">
        <v>929</v>
      </c>
      <c r="D1238" s="2" t="s">
        <v>752</v>
      </c>
      <c r="E1238" s="1"/>
      <c r="F1238" s="2" t="s">
        <v>371</v>
      </c>
      <c r="H1238" s="2" t="s">
        <v>3887</v>
      </c>
      <c r="I1238" s="5"/>
      <c r="J1238" s="5"/>
      <c r="K1238" s="5"/>
      <c r="L1238" s="5">
        <f>MEDIAN(8,10)</f>
        <v>9</v>
      </c>
      <c r="M1238" s="22" t="s">
        <v>571</v>
      </c>
      <c r="N1238" s="5"/>
      <c r="O1238" s="5"/>
      <c r="P1238" s="5"/>
      <c r="R1238" s="5"/>
      <c r="S1238" s="5"/>
      <c r="V1238" s="5"/>
      <c r="W1238" s="6" t="s">
        <v>2018</v>
      </c>
    </row>
    <row r="1239" spans="1:23" x14ac:dyDescent="0.15">
      <c r="A1239" s="2" t="s">
        <v>202</v>
      </c>
      <c r="B1239" s="2" t="s">
        <v>3936</v>
      </c>
      <c r="C1239" s="2" t="s">
        <v>929</v>
      </c>
      <c r="D1239" s="2" t="s">
        <v>493</v>
      </c>
      <c r="E1239" s="1"/>
      <c r="F1239" s="2" t="s">
        <v>374</v>
      </c>
      <c r="G1239" s="2" t="s">
        <v>374</v>
      </c>
      <c r="H1239" s="2" t="str">
        <f t="shared" si="44"/>
        <v>C</v>
      </c>
      <c r="I1239" s="5">
        <v>17.23</v>
      </c>
      <c r="J1239" s="5">
        <v>832.9</v>
      </c>
      <c r="K1239" s="5"/>
      <c r="L1239" s="5">
        <v>5.5</v>
      </c>
      <c r="M1239" s="2" t="s">
        <v>571</v>
      </c>
      <c r="N1239" s="5">
        <v>42</v>
      </c>
      <c r="O1239" s="5">
        <v>18</v>
      </c>
      <c r="P1239" s="5">
        <v>8.8019999999999996</v>
      </c>
      <c r="Q1239" s="2" t="s">
        <v>376</v>
      </c>
      <c r="R1239" s="5">
        <f>P1239*L1239</f>
        <v>48.411000000000001</v>
      </c>
      <c r="S1239" s="5">
        <f>(R1239/J1239)*100</f>
        <v>5.8123424180573906</v>
      </c>
      <c r="V1239" s="5"/>
      <c r="W1239" s="6" t="s">
        <v>2259</v>
      </c>
    </row>
    <row r="1240" spans="1:23" x14ac:dyDescent="0.15">
      <c r="A1240" s="2" t="s">
        <v>202</v>
      </c>
      <c r="B1240" s="2" t="s">
        <v>3936</v>
      </c>
      <c r="C1240" s="2" t="s">
        <v>929</v>
      </c>
      <c r="D1240" s="2" t="s">
        <v>493</v>
      </c>
      <c r="E1240" s="1"/>
      <c r="F1240" s="2" t="s">
        <v>374</v>
      </c>
      <c r="G1240" s="2" t="s">
        <v>374</v>
      </c>
      <c r="H1240" s="2" t="str">
        <f t="shared" si="44"/>
        <v>C</v>
      </c>
      <c r="I1240" s="5"/>
      <c r="J1240" s="5">
        <v>724</v>
      </c>
      <c r="K1240" s="5"/>
      <c r="L1240" s="5">
        <v>3.7</v>
      </c>
      <c r="M1240" s="22" t="s">
        <v>571</v>
      </c>
      <c r="N1240" s="5"/>
      <c r="O1240" s="5"/>
      <c r="P1240" s="5"/>
      <c r="R1240" s="5"/>
      <c r="S1240" s="5"/>
      <c r="T1240" s="7">
        <f>MEDIAN(1,2)</f>
        <v>1.5</v>
      </c>
      <c r="U1240" s="2" t="str">
        <f>IF(T1240&lt;=1, "1",IF(AND(T1240&gt;1,T1240&lt;4), "2-3", "+4"))</f>
        <v>2-3</v>
      </c>
      <c r="V1240" s="5"/>
      <c r="W1240" s="6" t="s">
        <v>2511</v>
      </c>
    </row>
    <row r="1241" spans="1:23" x14ac:dyDescent="0.15">
      <c r="A1241" s="2" t="s">
        <v>202</v>
      </c>
      <c r="B1241" s="2" t="s">
        <v>3936</v>
      </c>
      <c r="C1241" s="2" t="s">
        <v>929</v>
      </c>
      <c r="D1241" s="2" t="s">
        <v>493</v>
      </c>
      <c r="E1241" s="1"/>
      <c r="F1241" s="2" t="s">
        <v>217</v>
      </c>
      <c r="G1241" s="2" t="s">
        <v>374</v>
      </c>
      <c r="H1241" s="2" t="str">
        <f t="shared" si="44"/>
        <v>C</v>
      </c>
      <c r="I1241" s="5"/>
      <c r="J1241" s="5"/>
      <c r="K1241" s="7">
        <f>MEDIAN(3,7)</f>
        <v>5</v>
      </c>
      <c r="L1241" s="7">
        <f>MEDIAN(5,6)</f>
        <v>5.5</v>
      </c>
      <c r="M1241" s="22" t="s">
        <v>571</v>
      </c>
      <c r="N1241" s="5"/>
      <c r="O1241" s="5">
        <v>25</v>
      </c>
      <c r="P1241" s="5"/>
      <c r="R1241" s="5"/>
      <c r="S1241" s="5"/>
      <c r="T1241" s="9">
        <v>3</v>
      </c>
      <c r="U1241" s="2" t="str">
        <f>IF(T1241&lt;=1, "1",IF(AND(T1241&gt;1,T1241&lt;4), "2-3", "+4"))</f>
        <v>2-3</v>
      </c>
      <c r="V1241" s="5"/>
      <c r="W1241" s="6" t="s">
        <v>1930</v>
      </c>
    </row>
    <row r="1242" spans="1:23" x14ac:dyDescent="0.15">
      <c r="A1242" s="2" t="s">
        <v>202</v>
      </c>
      <c r="B1242" s="2" t="s">
        <v>3936</v>
      </c>
      <c r="C1242" s="2" t="s">
        <v>929</v>
      </c>
      <c r="D1242" s="2" t="s">
        <v>493</v>
      </c>
      <c r="E1242" s="1"/>
      <c r="F1242" s="2" t="s">
        <v>374</v>
      </c>
      <c r="G1242" s="2" t="s">
        <v>374</v>
      </c>
      <c r="H1242" s="2" t="str">
        <f t="shared" si="44"/>
        <v>C</v>
      </c>
      <c r="I1242" s="5">
        <v>15.47</v>
      </c>
      <c r="J1242" s="5"/>
      <c r="K1242" s="5"/>
      <c r="L1242" s="5">
        <v>5.33</v>
      </c>
      <c r="M1242" s="2" t="s">
        <v>571</v>
      </c>
      <c r="N1242" s="5"/>
      <c r="O1242" s="5"/>
      <c r="P1242" s="5"/>
      <c r="R1242" s="5"/>
      <c r="S1242" s="5"/>
      <c r="V1242" s="5"/>
      <c r="W1242" s="6" t="s">
        <v>2494</v>
      </c>
    </row>
    <row r="1243" spans="1:23" x14ac:dyDescent="0.15">
      <c r="A1243" s="2" t="s">
        <v>202</v>
      </c>
      <c r="B1243" s="2" t="s">
        <v>3936</v>
      </c>
      <c r="C1243" s="2" t="s">
        <v>929</v>
      </c>
      <c r="D1243" s="2" t="s">
        <v>493</v>
      </c>
      <c r="E1243" s="1"/>
      <c r="F1243" s="2" t="s">
        <v>374</v>
      </c>
      <c r="G1243" s="2" t="s">
        <v>374</v>
      </c>
      <c r="H1243" s="2" t="str">
        <f t="shared" si="44"/>
        <v>C</v>
      </c>
      <c r="I1243" s="5">
        <v>15.36</v>
      </c>
      <c r="J1243" s="5"/>
      <c r="K1243" s="5"/>
      <c r="L1243" s="5"/>
      <c r="M1243" s="22" t="s">
        <v>571</v>
      </c>
      <c r="N1243" s="5"/>
      <c r="O1243" s="5"/>
      <c r="P1243" s="5"/>
      <c r="R1243" s="5"/>
      <c r="S1243" s="5"/>
      <c r="T1243" s="9"/>
      <c r="U1243" s="9"/>
      <c r="V1243" s="5"/>
      <c r="W1243" s="6" t="s">
        <v>2803</v>
      </c>
    </row>
    <row r="1244" spans="1:23" x14ac:dyDescent="0.15">
      <c r="A1244" s="2" t="s">
        <v>202</v>
      </c>
      <c r="B1244" s="2" t="s">
        <v>3936</v>
      </c>
      <c r="C1244" s="2" t="s">
        <v>929</v>
      </c>
      <c r="D1244" s="2" t="s">
        <v>493</v>
      </c>
      <c r="E1244" s="1"/>
      <c r="F1244" s="2" t="s">
        <v>374</v>
      </c>
      <c r="G1244" s="2" t="s">
        <v>374</v>
      </c>
      <c r="H1244" s="2" t="str">
        <f t="shared" si="44"/>
        <v>C</v>
      </c>
      <c r="I1244" s="5"/>
      <c r="J1244" s="5"/>
      <c r="K1244" s="7"/>
      <c r="L1244" s="7">
        <v>6.25</v>
      </c>
      <c r="M1244" s="22" t="s">
        <v>571</v>
      </c>
      <c r="N1244" s="5"/>
      <c r="O1244" s="5"/>
      <c r="P1244" s="5"/>
      <c r="R1244" s="5"/>
      <c r="S1244" s="5"/>
      <c r="T1244" s="9">
        <v>4</v>
      </c>
      <c r="U1244" s="2" t="str">
        <f>IF(T1244&lt;=1, "1",IF(AND(T1244&gt;1,T1244&lt;4), "2-3", "+4"))</f>
        <v>+4</v>
      </c>
      <c r="V1244" s="5"/>
      <c r="W1244" s="6" t="s">
        <v>2806</v>
      </c>
    </row>
    <row r="1245" spans="1:23" x14ac:dyDescent="0.15">
      <c r="A1245" s="2" t="s">
        <v>202</v>
      </c>
      <c r="B1245" s="2" t="s">
        <v>3936</v>
      </c>
      <c r="C1245" s="2" t="s">
        <v>929</v>
      </c>
      <c r="D1245" s="2" t="s">
        <v>493</v>
      </c>
      <c r="E1245" s="1"/>
      <c r="F1245" s="2" t="s">
        <v>374</v>
      </c>
      <c r="G1245" s="2" t="s">
        <v>374</v>
      </c>
      <c r="H1245" s="2" t="str">
        <f t="shared" si="44"/>
        <v>C</v>
      </c>
      <c r="I1245" s="5"/>
      <c r="J1245" s="5"/>
      <c r="K1245" s="5"/>
      <c r="L1245" s="5">
        <v>6.25</v>
      </c>
      <c r="M1245" s="22" t="s">
        <v>571</v>
      </c>
      <c r="N1245" s="5"/>
      <c r="O1245" s="5"/>
      <c r="P1245" s="5"/>
      <c r="R1245" s="5"/>
      <c r="S1245" s="5"/>
      <c r="T1245" s="9" t="s">
        <v>399</v>
      </c>
      <c r="U1245" s="9"/>
      <c r="V1245" s="5"/>
      <c r="W1245" s="6" t="s">
        <v>2805</v>
      </c>
    </row>
    <row r="1246" spans="1:23" x14ac:dyDescent="0.15">
      <c r="A1246" s="2" t="s">
        <v>202</v>
      </c>
      <c r="B1246" s="2" t="s">
        <v>3936</v>
      </c>
      <c r="C1246" s="2" t="s">
        <v>929</v>
      </c>
      <c r="D1246" s="2" t="s">
        <v>493</v>
      </c>
      <c r="E1246" s="1"/>
      <c r="F1246" s="2" t="s">
        <v>374</v>
      </c>
      <c r="G1246" s="2" t="s">
        <v>374</v>
      </c>
      <c r="H1246" s="2" t="str">
        <f t="shared" si="44"/>
        <v>C</v>
      </c>
      <c r="I1246" s="5">
        <v>16.850000000000001</v>
      </c>
      <c r="J1246" s="5">
        <v>826.5</v>
      </c>
      <c r="K1246" s="5"/>
      <c r="L1246" s="5">
        <v>7.5</v>
      </c>
      <c r="M1246" s="5" t="s">
        <v>571</v>
      </c>
      <c r="N1246" s="5">
        <v>35.75</v>
      </c>
      <c r="O1246" s="5">
        <v>19.850000000000001</v>
      </c>
      <c r="P1246" s="5">
        <v>8.32</v>
      </c>
      <c r="Q1246" s="2" t="s">
        <v>18</v>
      </c>
      <c r="R1246" s="5">
        <v>62.435000000000002</v>
      </c>
      <c r="S1246" s="5">
        <v>10.07</v>
      </c>
      <c r="V1246" s="5"/>
      <c r="W1246" s="6" t="s">
        <v>1831</v>
      </c>
    </row>
    <row r="1247" spans="1:23" x14ac:dyDescent="0.15">
      <c r="A1247" s="2" t="s">
        <v>202</v>
      </c>
      <c r="B1247" s="2" t="s">
        <v>3936</v>
      </c>
      <c r="C1247" s="2" t="s">
        <v>929</v>
      </c>
      <c r="D1247" s="2" t="s">
        <v>493</v>
      </c>
      <c r="E1247" s="1"/>
      <c r="F1247" s="2" t="s">
        <v>374</v>
      </c>
      <c r="G1247" s="2" t="s">
        <v>374</v>
      </c>
      <c r="H1247" s="2" t="str">
        <f t="shared" si="44"/>
        <v>C</v>
      </c>
      <c r="I1247" s="5"/>
      <c r="J1247" s="5"/>
      <c r="K1247" s="5"/>
      <c r="L1247" s="7"/>
      <c r="M1247" s="22" t="s">
        <v>571</v>
      </c>
      <c r="N1247" s="5">
        <v>39</v>
      </c>
      <c r="O1247" s="5">
        <v>23</v>
      </c>
      <c r="P1247" s="5">
        <v>10.78</v>
      </c>
      <c r="Q1247" s="2" t="s">
        <v>376</v>
      </c>
      <c r="R1247" s="5"/>
      <c r="S1247" s="5"/>
      <c r="T1247" s="9">
        <f>MEDIAN(2,3)</f>
        <v>2.5</v>
      </c>
      <c r="U1247" s="2" t="str">
        <f>IF(T1247&lt;=1, "1",IF(AND(T1247&gt;1,T1247&lt;4), "2-3", "+4"))</f>
        <v>2-3</v>
      </c>
      <c r="V1247" s="5"/>
      <c r="W1247" s="6" t="s">
        <v>2001</v>
      </c>
    </row>
    <row r="1248" spans="1:23" x14ac:dyDescent="0.15">
      <c r="A1248" s="2" t="s">
        <v>202</v>
      </c>
      <c r="B1248" s="2" t="s">
        <v>3936</v>
      </c>
      <c r="C1248" s="2" t="s">
        <v>929</v>
      </c>
      <c r="D1248" s="2" t="s">
        <v>493</v>
      </c>
      <c r="E1248" s="1"/>
      <c r="F1248" s="2" t="s">
        <v>217</v>
      </c>
      <c r="G1248" s="2">
        <v>35.200000000000003</v>
      </c>
      <c r="H1248" s="2" t="str">
        <f t="shared" si="44"/>
        <v>W</v>
      </c>
      <c r="I1248" s="5">
        <v>16.5</v>
      </c>
      <c r="J1248" s="5"/>
      <c r="K1248" s="7"/>
      <c r="L1248" s="7"/>
      <c r="M1248" s="22" t="s">
        <v>571</v>
      </c>
      <c r="N1248" s="5"/>
      <c r="O1248" s="5"/>
      <c r="P1248" s="5"/>
      <c r="R1248" s="5"/>
      <c r="S1248" s="5"/>
      <c r="T1248" s="9"/>
      <c r="U1248" s="9"/>
      <c r="V1248" s="5"/>
      <c r="W1248" s="6" t="s">
        <v>2809</v>
      </c>
    </row>
    <row r="1249" spans="1:23" x14ac:dyDescent="0.15">
      <c r="A1249" s="2" t="s">
        <v>202</v>
      </c>
      <c r="B1249" s="2" t="s">
        <v>3936</v>
      </c>
      <c r="C1249" s="2" t="s">
        <v>929</v>
      </c>
      <c r="D1249" s="2" t="s">
        <v>493</v>
      </c>
      <c r="E1249" s="1"/>
      <c r="F1249" s="2" t="s">
        <v>217</v>
      </c>
      <c r="G1249" s="2">
        <v>35.200000000000003</v>
      </c>
      <c r="H1249" s="2" t="str">
        <f t="shared" si="44"/>
        <v>W</v>
      </c>
      <c r="I1249" s="5">
        <v>17.100000000000001</v>
      </c>
      <c r="J1249" s="5"/>
      <c r="K1249" s="7"/>
      <c r="L1249" s="7"/>
      <c r="M1249" s="22" t="s">
        <v>571</v>
      </c>
      <c r="N1249" s="5"/>
      <c r="O1249" s="5"/>
      <c r="P1249" s="5"/>
      <c r="R1249" s="5"/>
      <c r="S1249" s="5"/>
      <c r="T1249" s="9"/>
      <c r="U1249" s="9"/>
      <c r="V1249" s="5"/>
      <c r="W1249" s="6" t="s">
        <v>2807</v>
      </c>
    </row>
    <row r="1250" spans="1:23" x14ac:dyDescent="0.15">
      <c r="A1250" s="2" t="s">
        <v>202</v>
      </c>
      <c r="B1250" s="2" t="s">
        <v>3936</v>
      </c>
      <c r="C1250" s="2" t="s">
        <v>929</v>
      </c>
      <c r="D1250" s="2" t="s">
        <v>561</v>
      </c>
      <c r="E1250" s="1" t="s">
        <v>947</v>
      </c>
      <c r="F1250" s="2" t="s">
        <v>214</v>
      </c>
      <c r="G1250" s="2">
        <v>38.880000000000003</v>
      </c>
      <c r="H1250" s="2" t="str">
        <f t="shared" si="44"/>
        <v>W</v>
      </c>
      <c r="I1250" s="5">
        <v>18.09</v>
      </c>
      <c r="J1250" s="5">
        <v>774.9</v>
      </c>
      <c r="K1250" s="5"/>
      <c r="L1250" s="5">
        <v>9.6</v>
      </c>
      <c r="M1250" s="22" t="s">
        <v>571</v>
      </c>
      <c r="N1250" s="5">
        <v>34.14</v>
      </c>
      <c r="O1250" s="5">
        <v>20.13</v>
      </c>
      <c r="P1250" s="5">
        <v>8.39</v>
      </c>
      <c r="Q1250" s="2" t="s">
        <v>18</v>
      </c>
      <c r="R1250" s="5">
        <v>80.540000000000006</v>
      </c>
      <c r="S1250" s="5">
        <v>10.39</v>
      </c>
      <c r="V1250" s="5"/>
      <c r="W1250" s="6" t="s">
        <v>2020</v>
      </c>
    </row>
    <row r="1251" spans="1:23" x14ac:dyDescent="0.15">
      <c r="A1251" s="2" t="s">
        <v>202</v>
      </c>
      <c r="B1251" s="2" t="s">
        <v>3936</v>
      </c>
      <c r="C1251" s="2" t="s">
        <v>929</v>
      </c>
      <c r="D1251" s="2" t="s">
        <v>561</v>
      </c>
      <c r="E1251" s="1" t="s">
        <v>947</v>
      </c>
      <c r="F1251" s="2" t="s">
        <v>214</v>
      </c>
      <c r="G1251" s="2">
        <v>37</v>
      </c>
      <c r="H1251" s="2" t="str">
        <f t="shared" si="44"/>
        <v>W</v>
      </c>
      <c r="I1251" s="5">
        <v>18.8</v>
      </c>
      <c r="J1251" s="5">
        <v>934.42</v>
      </c>
      <c r="K1251" s="5"/>
      <c r="L1251" s="5">
        <v>6.78</v>
      </c>
      <c r="M1251" s="22" t="s">
        <v>571</v>
      </c>
      <c r="N1251" s="5">
        <v>33.700000000000003</v>
      </c>
      <c r="O1251" s="5">
        <v>20.7</v>
      </c>
      <c r="P1251" s="5">
        <v>8.43</v>
      </c>
      <c r="Q1251" s="2" t="s">
        <v>18</v>
      </c>
      <c r="R1251" s="5">
        <v>57.16</v>
      </c>
      <c r="S1251" s="5">
        <v>6.12</v>
      </c>
      <c r="T1251" s="9" t="s">
        <v>372</v>
      </c>
      <c r="U1251" s="40" t="s">
        <v>395</v>
      </c>
      <c r="V1251" s="5"/>
      <c r="W1251" s="6" t="s">
        <v>2365</v>
      </c>
    </row>
    <row r="1252" spans="1:23" ht="14" customHeight="1" x14ac:dyDescent="0.15">
      <c r="A1252" s="2" t="s">
        <v>202</v>
      </c>
      <c r="B1252" s="2" t="s">
        <v>3936</v>
      </c>
      <c r="C1252" s="2" t="s">
        <v>929</v>
      </c>
      <c r="D1252" s="2" t="s">
        <v>561</v>
      </c>
      <c r="E1252" s="1" t="s">
        <v>947</v>
      </c>
      <c r="F1252" s="2" t="s">
        <v>214</v>
      </c>
      <c r="G1252" s="2">
        <v>37</v>
      </c>
      <c r="H1252" s="2" t="str">
        <f t="shared" si="44"/>
        <v>W</v>
      </c>
      <c r="I1252" s="5">
        <v>17.600000000000001</v>
      </c>
      <c r="J1252" s="5">
        <v>621</v>
      </c>
      <c r="K1252" s="5">
        <v>7</v>
      </c>
      <c r="L1252" s="5">
        <v>6.4</v>
      </c>
      <c r="M1252" s="22" t="s">
        <v>571</v>
      </c>
      <c r="N1252" s="5">
        <v>33.700000000000003</v>
      </c>
      <c r="O1252" s="5">
        <v>19.7</v>
      </c>
      <c r="P1252" s="5">
        <v>7.8</v>
      </c>
      <c r="Q1252" s="2" t="s">
        <v>18</v>
      </c>
      <c r="R1252" s="5">
        <v>49.92</v>
      </c>
      <c r="S1252" s="5">
        <v>8.0399999999999991</v>
      </c>
      <c r="T1252" s="7">
        <f>MEDIAN(1,2)</f>
        <v>1.5</v>
      </c>
      <c r="U1252" s="2" t="str">
        <f>IF(T1252&lt;=1, "1",IF(AND(T1252&gt;1,T1252&lt;4), "2-3", "+4"))</f>
        <v>2-3</v>
      </c>
      <c r="V1252" s="5">
        <f>S1252*T1252</f>
        <v>12.059999999999999</v>
      </c>
      <c r="W1252" s="6" t="s">
        <v>2810</v>
      </c>
    </row>
    <row r="1253" spans="1:23" x14ac:dyDescent="0.15">
      <c r="A1253" s="2" t="s">
        <v>202</v>
      </c>
      <c r="B1253" s="2" t="s">
        <v>3936</v>
      </c>
      <c r="C1253" s="2" t="s">
        <v>929</v>
      </c>
      <c r="D1253" s="2" t="s">
        <v>561</v>
      </c>
      <c r="E1253" s="1" t="s">
        <v>947</v>
      </c>
      <c r="F1253" s="2" t="s">
        <v>911</v>
      </c>
      <c r="G1253" s="2">
        <v>37.15</v>
      </c>
      <c r="H1253" s="2" t="str">
        <f t="shared" si="44"/>
        <v>W</v>
      </c>
      <c r="I1253" s="5">
        <v>18.7</v>
      </c>
      <c r="J1253" s="5">
        <v>686.2</v>
      </c>
      <c r="K1253" s="5"/>
      <c r="L1253" s="5"/>
      <c r="M1253" s="22" t="s">
        <v>571</v>
      </c>
      <c r="N1253" s="5"/>
      <c r="O1253" s="5"/>
      <c r="P1253" s="5"/>
      <c r="R1253" s="5"/>
      <c r="S1253" s="5"/>
      <c r="V1253" s="5"/>
      <c r="W1253" s="6" t="s">
        <v>2811</v>
      </c>
    </row>
    <row r="1254" spans="1:23" x14ac:dyDescent="0.15">
      <c r="A1254" s="2" t="s">
        <v>202</v>
      </c>
      <c r="B1254" s="2" t="s">
        <v>3936</v>
      </c>
      <c r="C1254" s="2" t="s">
        <v>929</v>
      </c>
      <c r="D1254" s="2" t="s">
        <v>561</v>
      </c>
      <c r="E1254" s="1" t="s">
        <v>947</v>
      </c>
      <c r="F1254" s="2" t="s">
        <v>214</v>
      </c>
      <c r="G1254" s="2">
        <v>38.68</v>
      </c>
      <c r="H1254" s="2" t="str">
        <f t="shared" si="44"/>
        <v>W</v>
      </c>
      <c r="I1254" s="5">
        <v>18.600000000000001</v>
      </c>
      <c r="J1254" s="5">
        <v>947</v>
      </c>
      <c r="K1254" s="5"/>
      <c r="L1254" s="5"/>
      <c r="M1254" s="22" t="s">
        <v>571</v>
      </c>
      <c r="N1254" s="5"/>
      <c r="O1254" s="5"/>
      <c r="P1254" s="5"/>
      <c r="R1254" s="5"/>
      <c r="S1254" s="5"/>
      <c r="V1254" s="5"/>
      <c r="W1254" s="6" t="s">
        <v>2812</v>
      </c>
    </row>
    <row r="1255" spans="1:23" x14ac:dyDescent="0.15">
      <c r="A1255" s="2" t="s">
        <v>202</v>
      </c>
      <c r="B1255" s="2" t="s">
        <v>3936</v>
      </c>
      <c r="C1255" s="2" t="s">
        <v>929</v>
      </c>
      <c r="D1255" s="2" t="s">
        <v>561</v>
      </c>
      <c r="E1255" s="1" t="s">
        <v>947</v>
      </c>
      <c r="F1255" s="2" t="s">
        <v>214</v>
      </c>
      <c r="G1255" s="2">
        <v>38</v>
      </c>
      <c r="H1255" s="2" t="str">
        <f t="shared" si="44"/>
        <v>W</v>
      </c>
      <c r="I1255" s="5">
        <v>19</v>
      </c>
      <c r="J1255" s="5">
        <v>952</v>
      </c>
      <c r="K1255" s="5"/>
      <c r="L1255" s="5">
        <v>8.1</v>
      </c>
      <c r="M1255" s="22" t="s">
        <v>571</v>
      </c>
      <c r="N1255" s="5"/>
      <c r="O1255" s="5"/>
      <c r="P1255" s="5"/>
      <c r="R1255" s="5"/>
      <c r="S1255" s="5"/>
      <c r="V1255" s="5"/>
      <c r="W1255" s="6" t="s">
        <v>1832</v>
      </c>
    </row>
    <row r="1256" spans="1:23" x14ac:dyDescent="0.15">
      <c r="A1256" s="2" t="s">
        <v>202</v>
      </c>
      <c r="B1256" s="2" t="s">
        <v>3936</v>
      </c>
      <c r="C1256" s="2" t="s">
        <v>929</v>
      </c>
      <c r="D1256" s="2" t="s">
        <v>561</v>
      </c>
      <c r="E1256" s="1" t="s">
        <v>947</v>
      </c>
      <c r="F1256" s="2" t="s">
        <v>214</v>
      </c>
      <c r="G1256" s="2">
        <v>37</v>
      </c>
      <c r="H1256" s="2" t="str">
        <f t="shared" si="44"/>
        <v>W</v>
      </c>
      <c r="I1256" s="5">
        <v>17.93</v>
      </c>
      <c r="J1256" s="5">
        <v>773</v>
      </c>
      <c r="K1256" s="7">
        <f>MEDIAN(7,12)</f>
        <v>9.5</v>
      </c>
      <c r="L1256" s="5">
        <v>6.4</v>
      </c>
      <c r="M1256" s="22" t="s">
        <v>571</v>
      </c>
      <c r="N1256" s="5"/>
      <c r="O1256" s="5"/>
      <c r="P1256" s="5"/>
      <c r="R1256" s="5"/>
      <c r="S1256" s="5"/>
      <c r="T1256" s="9">
        <v>1</v>
      </c>
      <c r="U1256" s="2" t="str">
        <f>IF(T1256&lt;=1, "1",IF(AND(T1256&gt;1,T1256&lt;4), "2-3", "+4"))</f>
        <v>1</v>
      </c>
      <c r="V1256" s="5"/>
      <c r="W1256" s="6" t="s">
        <v>2366</v>
      </c>
    </row>
    <row r="1257" spans="1:23" x14ac:dyDescent="0.15">
      <c r="A1257" s="2" t="s">
        <v>202</v>
      </c>
      <c r="B1257" s="2" t="s">
        <v>3936</v>
      </c>
      <c r="C1257" s="2" t="s">
        <v>929</v>
      </c>
      <c r="D1257" s="2" t="s">
        <v>561</v>
      </c>
      <c r="E1257" s="1" t="s">
        <v>947</v>
      </c>
      <c r="F1257" s="2" t="s">
        <v>214</v>
      </c>
      <c r="G1257" s="2">
        <v>37.04</v>
      </c>
      <c r="H1257" s="2" t="str">
        <f t="shared" si="44"/>
        <v>W</v>
      </c>
      <c r="I1257" s="5">
        <v>17.920000000000002</v>
      </c>
      <c r="J1257" s="5">
        <f xml:space="preserve"> 0.001*(I1257*10)^2.58</f>
        <v>651.04656782870029</v>
      </c>
      <c r="K1257" s="5"/>
      <c r="L1257" s="5">
        <v>6.47</v>
      </c>
      <c r="M1257" s="22" t="s">
        <v>571</v>
      </c>
      <c r="N1257" s="5"/>
      <c r="O1257" s="5"/>
      <c r="P1257" s="5"/>
      <c r="R1257" s="5"/>
      <c r="S1257" s="5"/>
      <c r="V1257" s="5"/>
      <c r="W1257" s="6" t="s">
        <v>3437</v>
      </c>
    </row>
    <row r="1258" spans="1:23" x14ac:dyDescent="0.15">
      <c r="A1258" s="2" t="s">
        <v>202</v>
      </c>
      <c r="B1258" s="2" t="s">
        <v>3936</v>
      </c>
      <c r="C1258" s="2" t="s">
        <v>929</v>
      </c>
      <c r="D1258" s="2" t="s">
        <v>561</v>
      </c>
      <c r="E1258" s="1" t="s">
        <v>4467</v>
      </c>
      <c r="F1258" s="2" t="s">
        <v>215</v>
      </c>
      <c r="G1258" s="2">
        <v>32</v>
      </c>
      <c r="H1258" s="2" t="str">
        <f t="shared" si="44"/>
        <v>W</v>
      </c>
      <c r="I1258" s="5">
        <v>18.010000000000002</v>
      </c>
      <c r="J1258" s="5">
        <v>979.8</v>
      </c>
      <c r="K1258" s="5"/>
      <c r="L1258" s="5">
        <v>9.6999999999999993</v>
      </c>
      <c r="M1258" s="2" t="s">
        <v>571</v>
      </c>
      <c r="N1258" s="5">
        <f>(P1258+4.851-(0.374*O1258))/0.16</f>
        <v>30.443749999999991</v>
      </c>
      <c r="O1258" s="5">
        <v>20</v>
      </c>
      <c r="P1258" s="5">
        <v>7.5</v>
      </c>
      <c r="Q1258" s="2" t="s">
        <v>18</v>
      </c>
      <c r="R1258" s="5">
        <v>74</v>
      </c>
      <c r="S1258" s="5">
        <v>7.4</v>
      </c>
      <c r="V1258" s="5"/>
      <c r="W1258" s="6" t="s">
        <v>2021</v>
      </c>
    </row>
    <row r="1259" spans="1:23" x14ac:dyDescent="0.15">
      <c r="A1259" s="2" t="s">
        <v>202</v>
      </c>
      <c r="B1259" s="2" t="s">
        <v>3936</v>
      </c>
      <c r="C1259" s="2" t="s">
        <v>929</v>
      </c>
      <c r="D1259" s="2" t="s">
        <v>561</v>
      </c>
      <c r="E1259" s="1" t="s">
        <v>947</v>
      </c>
      <c r="F1259" s="2" t="s">
        <v>214</v>
      </c>
      <c r="G1259" s="2">
        <v>25</v>
      </c>
      <c r="H1259" s="2" t="str">
        <f t="shared" si="44"/>
        <v>W</v>
      </c>
      <c r="I1259" s="5">
        <v>16.88</v>
      </c>
      <c r="J1259" s="5">
        <v>608</v>
      </c>
      <c r="K1259" s="7">
        <f>MEDIAN(7,8)</f>
        <v>7.5</v>
      </c>
      <c r="L1259" s="5">
        <v>5.8</v>
      </c>
      <c r="M1259" s="2" t="s">
        <v>571</v>
      </c>
      <c r="N1259" s="5"/>
      <c r="O1259" s="5"/>
      <c r="P1259" s="5">
        <v>13.2</v>
      </c>
      <c r="Q1259" s="2" t="s">
        <v>18</v>
      </c>
      <c r="R1259" s="5">
        <v>76.599999999999994</v>
      </c>
      <c r="S1259" s="5">
        <f>(R1259/J1259)*100</f>
        <v>12.598684210526315</v>
      </c>
      <c r="V1259" s="5"/>
      <c r="W1259" s="6" t="s">
        <v>2019</v>
      </c>
    </row>
    <row r="1260" spans="1:23" x14ac:dyDescent="0.15">
      <c r="A1260" s="2" t="s">
        <v>202</v>
      </c>
      <c r="B1260" s="2" t="s">
        <v>3936</v>
      </c>
      <c r="C1260" s="2" t="s">
        <v>929</v>
      </c>
      <c r="D1260" s="2" t="s">
        <v>561</v>
      </c>
      <c r="E1260" s="1" t="s">
        <v>947</v>
      </c>
      <c r="F1260" s="2" t="s">
        <v>214</v>
      </c>
      <c r="G1260" s="2">
        <v>37.229999999999997</v>
      </c>
      <c r="H1260" s="2" t="str">
        <f t="shared" si="44"/>
        <v>W</v>
      </c>
      <c r="I1260" s="5">
        <v>18.41</v>
      </c>
      <c r="J1260" s="5">
        <v>862.1</v>
      </c>
      <c r="K1260" s="5">
        <v>7</v>
      </c>
      <c r="L1260" s="5">
        <v>8.5</v>
      </c>
      <c r="M1260" s="2" t="s">
        <v>571</v>
      </c>
      <c r="N1260" s="5"/>
      <c r="O1260" s="5"/>
      <c r="P1260" s="5"/>
      <c r="R1260" s="5"/>
      <c r="S1260" s="5"/>
      <c r="V1260" s="5"/>
      <c r="W1260" s="6" t="s">
        <v>3338</v>
      </c>
    </row>
    <row r="1261" spans="1:23" x14ac:dyDescent="0.15">
      <c r="A1261" s="2" t="s">
        <v>202</v>
      </c>
      <c r="B1261" s="2" t="s">
        <v>3936</v>
      </c>
      <c r="C1261" s="2" t="s">
        <v>929</v>
      </c>
      <c r="D1261" s="2" t="s">
        <v>561</v>
      </c>
      <c r="E1261" s="1" t="s">
        <v>947</v>
      </c>
      <c r="F1261" s="2" t="s">
        <v>214</v>
      </c>
      <c r="G1261" s="2">
        <v>37</v>
      </c>
      <c r="H1261" s="2" t="str">
        <f t="shared" si="44"/>
        <v>W</v>
      </c>
      <c r="I1261" s="5">
        <v>19.079999999999998</v>
      </c>
      <c r="J1261" s="5">
        <v>994.7</v>
      </c>
      <c r="K1261" s="5"/>
      <c r="L1261" s="5">
        <v>7</v>
      </c>
      <c r="M1261" s="2" t="s">
        <v>571</v>
      </c>
      <c r="N1261" s="5"/>
      <c r="O1261" s="5"/>
      <c r="P1261" s="5"/>
      <c r="R1261" s="5"/>
      <c r="S1261" s="5"/>
      <c r="V1261" s="5"/>
      <c r="W1261" s="6" t="s">
        <v>3338</v>
      </c>
    </row>
    <row r="1262" spans="1:23" x14ac:dyDescent="0.15">
      <c r="A1262" s="2" t="s">
        <v>202</v>
      </c>
      <c r="B1262" s="2" t="s">
        <v>3936</v>
      </c>
      <c r="C1262" s="2" t="s">
        <v>929</v>
      </c>
      <c r="D1262" s="2" t="s">
        <v>561</v>
      </c>
      <c r="E1262" s="1" t="s">
        <v>4468</v>
      </c>
      <c r="F1262" s="2" t="s">
        <v>4469</v>
      </c>
      <c r="H1262" s="2" t="s">
        <v>3887</v>
      </c>
      <c r="I1262" s="5"/>
      <c r="J1262" s="5"/>
      <c r="K1262" s="5"/>
      <c r="L1262" s="5"/>
      <c r="M1262" s="2" t="s">
        <v>571</v>
      </c>
      <c r="N1262" s="5">
        <v>37</v>
      </c>
      <c r="O1262" s="5">
        <v>21</v>
      </c>
      <c r="P1262" s="5">
        <f xml:space="preserve"> (0.16*N1262) + (0.374*O1262) - 4.851</f>
        <v>8.9230000000000018</v>
      </c>
      <c r="Q1262" s="2" t="s">
        <v>376</v>
      </c>
      <c r="R1262" s="5"/>
      <c r="S1262" s="5"/>
      <c r="V1262" s="5"/>
      <c r="W1262" s="6" t="s">
        <v>2651</v>
      </c>
    </row>
    <row r="1263" spans="1:23" x14ac:dyDescent="0.15">
      <c r="A1263" s="2" t="s">
        <v>202</v>
      </c>
      <c r="B1263" s="2" t="s">
        <v>3936</v>
      </c>
      <c r="C1263" s="2" t="s">
        <v>929</v>
      </c>
      <c r="D1263" s="2" t="s">
        <v>753</v>
      </c>
      <c r="E1263" s="1" t="s">
        <v>948</v>
      </c>
      <c r="F1263" s="2" t="s">
        <v>216</v>
      </c>
      <c r="G1263" s="2" t="s">
        <v>374</v>
      </c>
      <c r="H1263" s="2" t="str">
        <f t="shared" si="44"/>
        <v>C</v>
      </c>
      <c r="I1263" s="5">
        <v>17.95</v>
      </c>
      <c r="J1263" s="5">
        <f xml:space="preserve"> 0.2497*I1263^2.8127</f>
        <v>840.86374768237579</v>
      </c>
      <c r="K1263" s="5"/>
      <c r="L1263" s="5">
        <v>4.05</v>
      </c>
      <c r="M1263" s="22" t="s">
        <v>571</v>
      </c>
      <c r="N1263" s="5"/>
      <c r="O1263" s="5"/>
      <c r="P1263" s="5"/>
      <c r="R1263" s="5"/>
      <c r="S1263" s="5"/>
      <c r="T1263" s="2">
        <v>2.33</v>
      </c>
      <c r="U1263" s="2" t="str">
        <f>IF(T1263&lt;=1, "1",IF(AND(T1263&gt;1,T1263&lt;4), "2-3", "+4"))</f>
        <v>2-3</v>
      </c>
      <c r="V1263" s="5"/>
      <c r="W1263" s="6" t="s">
        <v>2024</v>
      </c>
    </row>
    <row r="1264" spans="1:23" x14ac:dyDescent="0.15">
      <c r="A1264" s="2" t="s">
        <v>202</v>
      </c>
      <c r="B1264" s="2" t="s">
        <v>3936</v>
      </c>
      <c r="C1264" s="2" t="s">
        <v>929</v>
      </c>
      <c r="D1264" s="2" t="s">
        <v>753</v>
      </c>
      <c r="E1264" s="1" t="s">
        <v>3499</v>
      </c>
      <c r="F1264" s="2" t="s">
        <v>217</v>
      </c>
      <c r="G1264" s="2">
        <v>26.32</v>
      </c>
      <c r="H1264" s="2" t="str">
        <f t="shared" ref="H1264:H1313" si="45">IF(G1264="captive","C","W")</f>
        <v>W</v>
      </c>
      <c r="I1264" s="5">
        <v>13.03</v>
      </c>
      <c r="J1264" s="5">
        <f xml:space="preserve"> 0.2497*I1264^2.8127</f>
        <v>341.52515760712572</v>
      </c>
      <c r="K1264" s="5"/>
      <c r="L1264" s="5"/>
      <c r="M1264" s="22" t="s">
        <v>571</v>
      </c>
      <c r="N1264" s="5"/>
      <c r="O1264" s="5"/>
      <c r="P1264" s="5"/>
      <c r="R1264" s="5"/>
      <c r="S1264" s="5"/>
      <c r="V1264" s="5"/>
      <c r="W1264" s="6" t="s">
        <v>2803</v>
      </c>
    </row>
    <row r="1265" spans="1:23" x14ac:dyDescent="0.15">
      <c r="A1265" s="2" t="s">
        <v>202</v>
      </c>
      <c r="B1265" s="2" t="s">
        <v>3936</v>
      </c>
      <c r="C1265" s="2" t="s">
        <v>929</v>
      </c>
      <c r="D1265" s="2" t="s">
        <v>753</v>
      </c>
      <c r="E1265" s="1" t="s">
        <v>948</v>
      </c>
      <c r="F1265" s="2" t="s">
        <v>216</v>
      </c>
      <c r="G1265" s="2">
        <v>24</v>
      </c>
      <c r="H1265" s="2" t="str">
        <f t="shared" si="45"/>
        <v>W</v>
      </c>
      <c r="I1265" s="5">
        <v>13</v>
      </c>
      <c r="J1265" s="5">
        <f xml:space="preserve"> 0.2497*I1265^2.8127</f>
        <v>339.31808661253035</v>
      </c>
      <c r="K1265" s="5"/>
      <c r="L1265" s="5"/>
      <c r="M1265" s="2" t="s">
        <v>571</v>
      </c>
      <c r="N1265" s="5"/>
      <c r="O1265" s="5"/>
      <c r="P1265" s="5"/>
      <c r="R1265" s="5"/>
      <c r="S1265" s="5"/>
      <c r="V1265" s="5"/>
      <c r="W1265" s="6" t="s">
        <v>3465</v>
      </c>
    </row>
    <row r="1266" spans="1:23" x14ac:dyDescent="0.15">
      <c r="A1266" s="2" t="s">
        <v>202</v>
      </c>
      <c r="B1266" s="2" t="s">
        <v>3936</v>
      </c>
      <c r="C1266" s="2" t="s">
        <v>929</v>
      </c>
      <c r="D1266" s="2" t="s">
        <v>753</v>
      </c>
      <c r="E1266" s="1" t="s">
        <v>3499</v>
      </c>
      <c r="F1266" s="2" t="s">
        <v>217</v>
      </c>
      <c r="G1266" s="2">
        <v>24.46</v>
      </c>
      <c r="H1266" s="2" t="str">
        <f t="shared" si="45"/>
        <v>W</v>
      </c>
      <c r="I1266" s="5">
        <v>14.5</v>
      </c>
      <c r="J1266" s="5">
        <f xml:space="preserve"> 0.2497*I1266^2.8127</f>
        <v>461.3157924061274</v>
      </c>
      <c r="K1266" s="5"/>
      <c r="L1266" s="5">
        <v>4</v>
      </c>
      <c r="M1266" s="22" t="s">
        <v>571</v>
      </c>
      <c r="N1266" s="5">
        <v>35.5</v>
      </c>
      <c r="O1266" s="5">
        <v>21.25</v>
      </c>
      <c r="P1266" s="5">
        <v>10</v>
      </c>
      <c r="Q1266" s="2" t="s">
        <v>18</v>
      </c>
      <c r="R1266" s="5">
        <v>40</v>
      </c>
      <c r="S1266" s="5">
        <f>(R1266/J1266)*100</f>
        <v>8.6708499163595292</v>
      </c>
      <c r="T1266" s="2">
        <v>1</v>
      </c>
      <c r="U1266" s="2" t="str">
        <f>IF(T1266&lt;=1, "1",IF(AND(T1266&gt;1,T1266&lt;4), "2-3", "+4"))</f>
        <v>1</v>
      </c>
      <c r="V1266" s="5">
        <f>S1266*T1266</f>
        <v>8.6708499163595292</v>
      </c>
      <c r="W1266" s="6" t="s">
        <v>2022</v>
      </c>
    </row>
    <row r="1267" spans="1:23" x14ac:dyDescent="0.15">
      <c r="A1267" s="1" t="s">
        <v>202</v>
      </c>
      <c r="B1267" s="2" t="s">
        <v>3936</v>
      </c>
      <c r="C1267" s="1" t="s">
        <v>929</v>
      </c>
      <c r="D1267" s="1" t="s">
        <v>753</v>
      </c>
      <c r="E1267" s="1" t="s">
        <v>3499</v>
      </c>
      <c r="F1267" s="1" t="s">
        <v>374</v>
      </c>
      <c r="G1267" s="1" t="s">
        <v>374</v>
      </c>
      <c r="H1267" s="2" t="str">
        <f t="shared" si="45"/>
        <v>C</v>
      </c>
      <c r="I1267" s="8">
        <v>15.53</v>
      </c>
      <c r="J1267" s="8">
        <v>472.3</v>
      </c>
      <c r="K1267" s="8"/>
      <c r="L1267" s="8">
        <v>2.875</v>
      </c>
      <c r="M1267" s="22" t="s">
        <v>571</v>
      </c>
      <c r="N1267" s="8">
        <v>37</v>
      </c>
      <c r="O1267" s="8">
        <v>20</v>
      </c>
      <c r="P1267" s="8">
        <v>9.1739999999999995</v>
      </c>
      <c r="Q1267" s="1" t="s">
        <v>376</v>
      </c>
      <c r="R1267" s="8">
        <v>26.375</v>
      </c>
      <c r="S1267" s="8">
        <v>5.58</v>
      </c>
      <c r="T1267" s="1">
        <v>3</v>
      </c>
      <c r="U1267" s="2" t="str">
        <f>IF(T1267&lt;=1, "1",IF(AND(T1267&gt;1,T1267&lt;4), "2-3", "+4"))</f>
        <v>2-3</v>
      </c>
      <c r="V1267" s="8">
        <v>16.75</v>
      </c>
      <c r="W1267" s="6" t="s">
        <v>3860</v>
      </c>
    </row>
    <row r="1268" spans="1:23" x14ac:dyDescent="0.15">
      <c r="A1268" s="2" t="s">
        <v>202</v>
      </c>
      <c r="B1268" s="2" t="s">
        <v>3936</v>
      </c>
      <c r="C1268" s="2" t="s">
        <v>929</v>
      </c>
      <c r="D1268" s="2" t="s">
        <v>753</v>
      </c>
      <c r="E1268" s="1" t="s">
        <v>948</v>
      </c>
      <c r="F1268" s="2" t="s">
        <v>374</v>
      </c>
      <c r="G1268" s="2" t="s">
        <v>374</v>
      </c>
      <c r="H1268" s="2" t="str">
        <f t="shared" si="45"/>
        <v>C</v>
      </c>
      <c r="I1268" s="5"/>
      <c r="J1268" s="5"/>
      <c r="K1268" s="5"/>
      <c r="L1268" s="7">
        <f>MEDIAN(1,4)</f>
        <v>2.5</v>
      </c>
      <c r="M1268" s="22" t="s">
        <v>571</v>
      </c>
      <c r="N1268" s="5">
        <v>43.86</v>
      </c>
      <c r="O1268" s="5">
        <v>24.17</v>
      </c>
      <c r="P1268" s="5">
        <v>15.25</v>
      </c>
      <c r="Q1268" s="2" t="s">
        <v>18</v>
      </c>
      <c r="R1268" s="5">
        <f>P1268*L1268</f>
        <v>38.125</v>
      </c>
      <c r="S1268" s="5"/>
      <c r="V1268" s="5"/>
      <c r="W1268" s="6" t="s">
        <v>2001</v>
      </c>
    </row>
    <row r="1269" spans="1:23" x14ac:dyDescent="0.15">
      <c r="A1269" s="2" t="s">
        <v>202</v>
      </c>
      <c r="B1269" s="2" t="s">
        <v>3936</v>
      </c>
      <c r="C1269" s="2" t="s">
        <v>929</v>
      </c>
      <c r="D1269" s="2" t="s">
        <v>753</v>
      </c>
      <c r="E1269" s="1" t="s">
        <v>948</v>
      </c>
      <c r="F1269" s="2" t="s">
        <v>374</v>
      </c>
      <c r="G1269" s="2" t="s">
        <v>374</v>
      </c>
      <c r="H1269" s="2" t="str">
        <f t="shared" si="45"/>
        <v>C</v>
      </c>
      <c r="I1269" s="5"/>
      <c r="J1269" s="5"/>
      <c r="K1269" s="5">
        <v>5</v>
      </c>
      <c r="L1269" s="7"/>
      <c r="M1269" s="22" t="s">
        <v>571</v>
      </c>
      <c r="N1269" s="5"/>
      <c r="O1269" s="5"/>
      <c r="P1269" s="5"/>
      <c r="R1269" s="5"/>
      <c r="S1269" s="5"/>
      <c r="V1269" s="5"/>
      <c r="W1269" s="6" t="s">
        <v>4105</v>
      </c>
    </row>
    <row r="1270" spans="1:23" x14ac:dyDescent="0.15">
      <c r="A1270" s="2" t="s">
        <v>202</v>
      </c>
      <c r="B1270" s="2" t="s">
        <v>3936</v>
      </c>
      <c r="C1270" s="2" t="s">
        <v>929</v>
      </c>
      <c r="D1270" s="2" t="s">
        <v>753</v>
      </c>
      <c r="E1270" s="1" t="s">
        <v>3499</v>
      </c>
      <c r="F1270" s="2" t="s">
        <v>217</v>
      </c>
      <c r="G1270" s="2">
        <v>24.41</v>
      </c>
      <c r="H1270" s="2" t="str">
        <f t="shared" si="45"/>
        <v>W</v>
      </c>
      <c r="I1270" s="5">
        <v>13.83</v>
      </c>
      <c r="J1270" s="5">
        <f xml:space="preserve"> 0.2497*I1270^2.8127</f>
        <v>403.83977228904757</v>
      </c>
      <c r="K1270" s="5"/>
      <c r="L1270" s="7"/>
      <c r="M1270" s="22" t="s">
        <v>571</v>
      </c>
      <c r="N1270" s="5"/>
      <c r="O1270" s="5"/>
      <c r="P1270" s="5"/>
      <c r="R1270" s="5"/>
      <c r="S1270" s="5"/>
      <c r="V1270" s="5"/>
      <c r="W1270" s="6" t="s">
        <v>2814</v>
      </c>
    </row>
    <row r="1271" spans="1:23" x14ac:dyDescent="0.15">
      <c r="A1271" s="2" t="s">
        <v>202</v>
      </c>
      <c r="B1271" s="2" t="s">
        <v>3936</v>
      </c>
      <c r="C1271" s="2" t="s">
        <v>929</v>
      </c>
      <c r="D1271" s="2" t="s">
        <v>753</v>
      </c>
      <c r="E1271" s="1" t="s">
        <v>948</v>
      </c>
      <c r="F1271" s="2" t="s">
        <v>374</v>
      </c>
      <c r="G1271" s="2" t="s">
        <v>374</v>
      </c>
      <c r="H1271" s="2" t="str">
        <f t="shared" si="45"/>
        <v>C</v>
      </c>
      <c r="I1271" s="5"/>
      <c r="J1271" s="5"/>
      <c r="K1271" s="5"/>
      <c r="L1271" s="5">
        <v>3.15</v>
      </c>
      <c r="M1271" s="22" t="s">
        <v>571</v>
      </c>
      <c r="N1271" s="5"/>
      <c r="O1271" s="5"/>
      <c r="P1271" s="5"/>
      <c r="R1271" s="5"/>
      <c r="S1271" s="5"/>
      <c r="V1271" s="5"/>
      <c r="W1271" s="6" t="s">
        <v>2813</v>
      </c>
    </row>
    <row r="1272" spans="1:23" x14ac:dyDescent="0.15">
      <c r="A1272" s="2" t="s">
        <v>202</v>
      </c>
      <c r="B1272" s="2" t="s">
        <v>3936</v>
      </c>
      <c r="C1272" s="2" t="s">
        <v>929</v>
      </c>
      <c r="D1272" s="2" t="s">
        <v>753</v>
      </c>
      <c r="E1272" s="1" t="s">
        <v>948</v>
      </c>
      <c r="F1272" s="2" t="s">
        <v>209</v>
      </c>
      <c r="H1272" s="2" t="s">
        <v>3887</v>
      </c>
      <c r="I1272" s="5"/>
      <c r="J1272" s="5"/>
      <c r="K1272" s="5"/>
      <c r="L1272" s="5">
        <v>2.5</v>
      </c>
      <c r="M1272" s="2" t="s">
        <v>571</v>
      </c>
      <c r="N1272" s="5">
        <v>43.4</v>
      </c>
      <c r="O1272" s="5">
        <v>22.3</v>
      </c>
      <c r="P1272" s="5">
        <v>13.95</v>
      </c>
      <c r="Q1272" s="2" t="s">
        <v>18</v>
      </c>
      <c r="R1272" s="5">
        <f>P1272*L1272</f>
        <v>34.875</v>
      </c>
      <c r="S1272" s="5"/>
      <c r="V1272" s="5"/>
      <c r="W1272" s="6" t="s">
        <v>2023</v>
      </c>
    </row>
    <row r="1273" spans="1:23" x14ac:dyDescent="0.15">
      <c r="A1273" s="2" t="s">
        <v>202</v>
      </c>
      <c r="B1273" s="2" t="s">
        <v>3936</v>
      </c>
      <c r="C1273" s="2" t="s">
        <v>929</v>
      </c>
      <c r="D1273" s="2" t="s">
        <v>754</v>
      </c>
      <c r="E1273" s="1"/>
      <c r="F1273" s="2" t="s">
        <v>374</v>
      </c>
      <c r="G1273" s="2" t="s">
        <v>374</v>
      </c>
      <c r="H1273" s="2" t="str">
        <f t="shared" si="45"/>
        <v>C</v>
      </c>
      <c r="I1273" s="5">
        <v>18.95</v>
      </c>
      <c r="J1273" s="5">
        <v>992.5</v>
      </c>
      <c r="K1273" s="5"/>
      <c r="L1273" s="5">
        <v>5.4</v>
      </c>
      <c r="M1273" s="4" t="s">
        <v>571</v>
      </c>
      <c r="N1273" s="5"/>
      <c r="O1273" s="5"/>
      <c r="P1273" s="5"/>
      <c r="R1273" s="5"/>
      <c r="S1273" s="5"/>
      <c r="T1273" s="5" t="s">
        <v>893</v>
      </c>
      <c r="U1273" s="40" t="s">
        <v>4047</v>
      </c>
      <c r="V1273" s="5"/>
      <c r="W1273" s="6" t="s">
        <v>2527</v>
      </c>
    </row>
    <row r="1274" spans="1:23" x14ac:dyDescent="0.15">
      <c r="A1274" s="2" t="s">
        <v>202</v>
      </c>
      <c r="B1274" s="2" t="s">
        <v>3936</v>
      </c>
      <c r="C1274" s="2" t="s">
        <v>929</v>
      </c>
      <c r="D1274" s="2" t="s">
        <v>754</v>
      </c>
      <c r="E1274" s="1"/>
      <c r="F1274" s="2" t="s">
        <v>374</v>
      </c>
      <c r="G1274" s="2" t="s">
        <v>374</v>
      </c>
      <c r="H1274" s="2" t="str">
        <f t="shared" si="45"/>
        <v>C</v>
      </c>
      <c r="I1274" s="5">
        <v>13.8</v>
      </c>
      <c r="J1274" s="5">
        <v>552</v>
      </c>
      <c r="K1274" s="5"/>
      <c r="L1274" s="5">
        <v>3.33</v>
      </c>
      <c r="M1274" s="4" t="s">
        <v>571</v>
      </c>
      <c r="N1274" s="5">
        <v>36</v>
      </c>
      <c r="O1274" s="5">
        <v>20</v>
      </c>
      <c r="P1274" s="5">
        <v>8.3000000000000007</v>
      </c>
      <c r="Q1274" s="2" t="s">
        <v>18</v>
      </c>
      <c r="R1274" s="5">
        <v>27.638999999999999</v>
      </c>
      <c r="S1274" s="5">
        <v>5.01</v>
      </c>
      <c r="T1274" s="2">
        <v>1</v>
      </c>
      <c r="U1274" s="2" t="str">
        <f>IF(T1274&lt;=1, "1",IF(AND(T1274&gt;1,T1274&lt;4), "2-3", "+4"))</f>
        <v>1</v>
      </c>
      <c r="V1274" s="5">
        <f>S1274*T1274</f>
        <v>5.01</v>
      </c>
      <c r="W1274" s="6" t="s">
        <v>2816</v>
      </c>
    </row>
    <row r="1275" spans="1:23" x14ac:dyDescent="0.15">
      <c r="A1275" s="2" t="s">
        <v>202</v>
      </c>
      <c r="B1275" s="2" t="s">
        <v>3936</v>
      </c>
      <c r="C1275" s="2" t="s">
        <v>929</v>
      </c>
      <c r="D1275" s="2" t="s">
        <v>754</v>
      </c>
      <c r="E1275" s="1"/>
      <c r="F1275" s="2" t="s">
        <v>374</v>
      </c>
      <c r="G1275" s="2" t="s">
        <v>374</v>
      </c>
      <c r="H1275" s="2" t="str">
        <f t="shared" si="45"/>
        <v>C</v>
      </c>
      <c r="I1275" s="5">
        <v>23.1</v>
      </c>
      <c r="J1275" s="5">
        <v>1500</v>
      </c>
      <c r="K1275" s="5"/>
      <c r="L1275" s="5">
        <v>4</v>
      </c>
      <c r="M1275" s="4" t="s">
        <v>571</v>
      </c>
      <c r="N1275" s="5">
        <v>36.200000000000003</v>
      </c>
      <c r="O1275" s="5">
        <v>20</v>
      </c>
      <c r="P1275" s="5">
        <v>8.67</v>
      </c>
      <c r="Q1275" s="2" t="s">
        <v>376</v>
      </c>
      <c r="R1275" s="5">
        <v>34.67</v>
      </c>
      <c r="S1275" s="5">
        <v>2.31</v>
      </c>
      <c r="T1275" s="9">
        <f>MEDIAN(1,3)</f>
        <v>2</v>
      </c>
      <c r="U1275" s="2" t="str">
        <f>IF(T1275&lt;=1, "1",IF(AND(T1275&gt;1,T1275&lt;4), "2-3", "+4"))</f>
        <v>2-3</v>
      </c>
      <c r="V1275" s="5">
        <f>S1275*2</f>
        <v>4.62</v>
      </c>
      <c r="W1275" s="6" t="s">
        <v>2817</v>
      </c>
    </row>
    <row r="1276" spans="1:23" x14ac:dyDescent="0.15">
      <c r="A1276" s="2" t="s">
        <v>202</v>
      </c>
      <c r="B1276" s="2" t="s">
        <v>3936</v>
      </c>
      <c r="C1276" s="2" t="s">
        <v>929</v>
      </c>
      <c r="D1276" s="2" t="s">
        <v>754</v>
      </c>
      <c r="E1276" s="1"/>
      <c r="F1276" s="2" t="s">
        <v>374</v>
      </c>
      <c r="G1276" s="2" t="s">
        <v>374</v>
      </c>
      <c r="H1276" s="2" t="str">
        <f t="shared" si="45"/>
        <v>C</v>
      </c>
      <c r="I1276" s="5">
        <v>19.5</v>
      </c>
      <c r="J1276" s="5">
        <v>955</v>
      </c>
      <c r="K1276" s="5"/>
      <c r="L1276" s="5">
        <v>4.4000000000000004</v>
      </c>
      <c r="M1276" s="4" t="s">
        <v>571</v>
      </c>
      <c r="N1276" s="5">
        <v>39.1</v>
      </c>
      <c r="O1276" s="5">
        <v>22.6</v>
      </c>
      <c r="P1276" s="5">
        <v>11.9</v>
      </c>
      <c r="Q1276" s="2" t="s">
        <v>18</v>
      </c>
      <c r="R1276" s="5">
        <v>52.36</v>
      </c>
      <c r="S1276" s="5">
        <v>5.48</v>
      </c>
      <c r="V1276" s="5"/>
      <c r="W1276" s="6" t="s">
        <v>2815</v>
      </c>
    </row>
    <row r="1277" spans="1:23" x14ac:dyDescent="0.15">
      <c r="A1277" s="2" t="s">
        <v>202</v>
      </c>
      <c r="B1277" s="2" t="s">
        <v>3936</v>
      </c>
      <c r="C1277" s="2" t="s">
        <v>929</v>
      </c>
      <c r="D1277" s="2" t="s">
        <v>754</v>
      </c>
      <c r="E1277" s="1"/>
      <c r="F1277" s="2" t="s">
        <v>374</v>
      </c>
      <c r="G1277" s="2" t="s">
        <v>374</v>
      </c>
      <c r="H1277" s="2" t="str">
        <f t="shared" si="45"/>
        <v>C</v>
      </c>
      <c r="I1277" s="5">
        <v>23.3</v>
      </c>
      <c r="J1277" s="5">
        <v>1765</v>
      </c>
      <c r="K1277" s="5"/>
      <c r="L1277" s="5">
        <v>7.5</v>
      </c>
      <c r="M1277" s="4" t="s">
        <v>571</v>
      </c>
      <c r="N1277" s="5"/>
      <c r="O1277" s="7">
        <f>MEDIAN(37,45)</f>
        <v>41</v>
      </c>
      <c r="P1277" s="7">
        <f>MEDIAN(10,16)</f>
        <v>13</v>
      </c>
      <c r="Q1277" s="2" t="s">
        <v>18</v>
      </c>
      <c r="R1277" s="5">
        <f>P1277*L1277</f>
        <v>97.5</v>
      </c>
      <c r="S1277" s="5">
        <f>(R1277/J1277)*100</f>
        <v>5.524079320113314</v>
      </c>
      <c r="V1277" s="5"/>
      <c r="W1277" s="6" t="s">
        <v>2302</v>
      </c>
    </row>
    <row r="1278" spans="1:23" x14ac:dyDescent="0.15">
      <c r="A1278" s="2" t="s">
        <v>202</v>
      </c>
      <c r="B1278" s="2" t="s">
        <v>3936</v>
      </c>
      <c r="C1278" s="2" t="s">
        <v>929</v>
      </c>
      <c r="D1278" s="2" t="s">
        <v>754</v>
      </c>
      <c r="E1278" s="1"/>
      <c r="F1278" s="2" t="s">
        <v>374</v>
      </c>
      <c r="G1278" s="2" t="s">
        <v>374</v>
      </c>
      <c r="H1278" s="2" t="str">
        <f t="shared" si="45"/>
        <v>C</v>
      </c>
      <c r="I1278" s="5"/>
      <c r="J1278" s="5"/>
      <c r="K1278" s="5"/>
      <c r="L1278" s="7">
        <f>MEDIAN(2,8)</f>
        <v>5</v>
      </c>
      <c r="M1278" s="4" t="s">
        <v>571</v>
      </c>
      <c r="N1278" s="5">
        <f>MEDIAN(36,40)</f>
        <v>38</v>
      </c>
      <c r="O1278" s="5">
        <f>MEDIAN(20,23)</f>
        <v>21.5</v>
      </c>
      <c r="P1278" s="5"/>
      <c r="R1278" s="5"/>
      <c r="S1278" s="5"/>
      <c r="V1278" s="5"/>
      <c r="W1278" s="6" t="s">
        <v>2001</v>
      </c>
    </row>
    <row r="1279" spans="1:23" x14ac:dyDescent="0.15">
      <c r="A1279" s="2" t="s">
        <v>202</v>
      </c>
      <c r="B1279" s="2" t="s">
        <v>3936</v>
      </c>
      <c r="C1279" s="2" t="s">
        <v>929</v>
      </c>
      <c r="D1279" s="2" t="s">
        <v>381</v>
      </c>
      <c r="E1279" s="1"/>
      <c r="F1279" s="2" t="s">
        <v>374</v>
      </c>
      <c r="G1279" s="2" t="s">
        <v>374</v>
      </c>
      <c r="H1279" s="2" t="str">
        <f t="shared" si="45"/>
        <v>C</v>
      </c>
      <c r="I1279" s="5">
        <v>15.948</v>
      </c>
      <c r="J1279" s="5">
        <v>650.28</v>
      </c>
      <c r="K1279" s="5">
        <v>6</v>
      </c>
      <c r="L1279" s="7"/>
      <c r="M1279" s="4" t="s">
        <v>571</v>
      </c>
      <c r="N1279" s="5"/>
      <c r="O1279" s="5"/>
      <c r="P1279" s="5"/>
      <c r="R1279" s="5"/>
      <c r="S1279" s="5"/>
      <c r="T1279" s="2">
        <v>3.67</v>
      </c>
      <c r="U1279" s="2" t="str">
        <f>IF(T1279&lt;=1, "1",IF(AND(T1279&gt;1,T1279&lt;4), "2-3", "+4"))</f>
        <v>2-3</v>
      </c>
      <c r="V1279" s="5"/>
      <c r="W1279" s="6" t="s">
        <v>3542</v>
      </c>
    </row>
    <row r="1280" spans="1:23" x14ac:dyDescent="0.15">
      <c r="A1280" s="2" t="s">
        <v>202</v>
      </c>
      <c r="B1280" s="2" t="s">
        <v>3936</v>
      </c>
      <c r="C1280" s="2" t="s">
        <v>929</v>
      </c>
      <c r="D1280" s="2" t="s">
        <v>381</v>
      </c>
      <c r="E1280" s="1"/>
      <c r="F1280" s="2" t="s">
        <v>374</v>
      </c>
      <c r="G1280" s="2" t="s">
        <v>374</v>
      </c>
      <c r="H1280" s="2" t="str">
        <f t="shared" si="45"/>
        <v>C</v>
      </c>
      <c r="I1280" s="5">
        <v>17.7</v>
      </c>
      <c r="J1280" s="5">
        <v>833</v>
      </c>
      <c r="K1280" s="5"/>
      <c r="L1280" s="5">
        <v>3.5</v>
      </c>
      <c r="M1280" s="4" t="s">
        <v>571</v>
      </c>
      <c r="N1280" s="5">
        <v>38.5</v>
      </c>
      <c r="O1280" s="5">
        <v>21.29</v>
      </c>
      <c r="P1280" s="5">
        <v>10.71</v>
      </c>
      <c r="Q1280" s="2" t="s">
        <v>18</v>
      </c>
      <c r="R1280" s="5">
        <v>37.5</v>
      </c>
      <c r="S1280" s="5">
        <v>4.5</v>
      </c>
      <c r="T1280" s="9">
        <v>4</v>
      </c>
      <c r="U1280" s="2" t="str">
        <f>IF(T1280&lt;=1, "1",IF(AND(T1280&gt;1,T1280&lt;4), "2-3", "+4"))</f>
        <v>+4</v>
      </c>
      <c r="V1280" s="5">
        <f>S1280*T1280</f>
        <v>18</v>
      </c>
      <c r="W1280" s="6" t="s">
        <v>2818</v>
      </c>
    </row>
    <row r="1281" spans="1:23" x14ac:dyDescent="0.15">
      <c r="A1281" s="1" t="s">
        <v>202</v>
      </c>
      <c r="B1281" s="2" t="s">
        <v>3936</v>
      </c>
      <c r="C1281" s="2" t="s">
        <v>929</v>
      </c>
      <c r="D1281" s="2" t="s">
        <v>381</v>
      </c>
      <c r="E1281" s="1"/>
      <c r="F1281" s="1" t="s">
        <v>374</v>
      </c>
      <c r="G1281" s="1" t="s">
        <v>374</v>
      </c>
      <c r="H1281" s="2" t="str">
        <f t="shared" si="45"/>
        <v>C</v>
      </c>
      <c r="I1281" s="8">
        <v>14.079000000000001</v>
      </c>
      <c r="J1281" s="8">
        <v>483.7</v>
      </c>
      <c r="K1281" s="8"/>
      <c r="L1281" s="8">
        <v>4</v>
      </c>
      <c r="M1281" s="8" t="s">
        <v>571</v>
      </c>
      <c r="N1281" s="8">
        <v>38.5</v>
      </c>
      <c r="O1281" s="8">
        <v>21</v>
      </c>
      <c r="P1281" s="8">
        <v>9.5</v>
      </c>
      <c r="Q1281" s="1" t="s">
        <v>18</v>
      </c>
      <c r="R1281" s="8">
        <v>38</v>
      </c>
      <c r="S1281" s="8">
        <v>7.86</v>
      </c>
      <c r="T1281" s="1" t="s">
        <v>382</v>
      </c>
      <c r="U1281" s="40" t="s">
        <v>395</v>
      </c>
      <c r="V1281" s="8"/>
      <c r="W1281" s="6" t="s">
        <v>3861</v>
      </c>
    </row>
    <row r="1282" spans="1:23" x14ac:dyDescent="0.15">
      <c r="A1282" s="2" t="s">
        <v>202</v>
      </c>
      <c r="B1282" s="2" t="s">
        <v>3936</v>
      </c>
      <c r="C1282" s="2" t="s">
        <v>929</v>
      </c>
      <c r="D1282" s="2" t="s">
        <v>381</v>
      </c>
      <c r="E1282" s="1"/>
      <c r="F1282" s="2" t="s">
        <v>217</v>
      </c>
      <c r="G1282" s="2" t="s">
        <v>374</v>
      </c>
      <c r="H1282" s="2" t="str">
        <f t="shared" si="45"/>
        <v>C</v>
      </c>
      <c r="I1282" s="5"/>
      <c r="J1282" s="5"/>
      <c r="K1282" s="5"/>
      <c r="L1282" s="7">
        <f>MEDIAN(4,9)</f>
        <v>6.5</v>
      </c>
      <c r="M1282" s="4" t="s">
        <v>571</v>
      </c>
      <c r="N1282" s="5">
        <v>40</v>
      </c>
      <c r="O1282" s="5">
        <v>23</v>
      </c>
      <c r="P1282" s="5">
        <v>11.2</v>
      </c>
      <c r="Q1282" s="2" t="s">
        <v>18</v>
      </c>
      <c r="R1282" s="5">
        <f>P1282*L1282</f>
        <v>72.8</v>
      </c>
      <c r="S1282" s="5"/>
      <c r="T1282" s="9">
        <f>MEDIAN(2,3)</f>
        <v>2.5</v>
      </c>
      <c r="U1282" s="2" t="str">
        <f>IF(T1282&lt;=1, "1",IF(AND(T1282&gt;1,T1282&lt;4), "2-3", "+4"))</f>
        <v>2-3</v>
      </c>
      <c r="V1282" s="5"/>
      <c r="W1282" s="6" t="s">
        <v>1930</v>
      </c>
    </row>
    <row r="1283" spans="1:23" x14ac:dyDescent="0.15">
      <c r="A1283" s="2" t="s">
        <v>202</v>
      </c>
      <c r="B1283" s="2" t="s">
        <v>3936</v>
      </c>
      <c r="C1283" s="2" t="s">
        <v>929</v>
      </c>
      <c r="D1283" s="2" t="s">
        <v>381</v>
      </c>
      <c r="E1283" s="1"/>
      <c r="F1283" s="2" t="s">
        <v>374</v>
      </c>
      <c r="G1283" s="2" t="s">
        <v>374</v>
      </c>
      <c r="H1283" s="2" t="str">
        <f t="shared" si="45"/>
        <v>C</v>
      </c>
      <c r="I1283" s="5">
        <v>19.78</v>
      </c>
      <c r="J1283" s="5">
        <f xml:space="preserve"> 0.07574*I1283^3.2614</f>
        <v>1278.9033178586601</v>
      </c>
      <c r="K1283" s="7"/>
      <c r="L1283" s="5">
        <v>6.7</v>
      </c>
      <c r="M1283" s="4" t="s">
        <v>571</v>
      </c>
      <c r="N1283" s="5">
        <v>38</v>
      </c>
      <c r="O1283" s="5">
        <v>22.5</v>
      </c>
      <c r="P1283" s="5">
        <v>11</v>
      </c>
      <c r="Q1283" s="2" t="s">
        <v>18</v>
      </c>
      <c r="R1283" s="5">
        <v>73.7</v>
      </c>
      <c r="S1283" s="5">
        <v>8.77</v>
      </c>
      <c r="T1283" s="9">
        <f>MEDIAN(1,2)</f>
        <v>1.5</v>
      </c>
      <c r="U1283" s="2" t="str">
        <f>IF(T1283&lt;=1, "1",IF(AND(T1283&gt;1,T1283&lt;4), "2-3", "+4"))</f>
        <v>2-3</v>
      </c>
      <c r="V1283" s="5">
        <f>S1283*1.5</f>
        <v>13.154999999999999</v>
      </c>
      <c r="W1283" s="6" t="s">
        <v>2493</v>
      </c>
    </row>
    <row r="1284" spans="1:23" x14ac:dyDescent="0.15">
      <c r="A1284" s="1" t="s">
        <v>202</v>
      </c>
      <c r="B1284" s="2" t="s">
        <v>3936</v>
      </c>
      <c r="C1284" s="2" t="s">
        <v>929</v>
      </c>
      <c r="D1284" s="1" t="s">
        <v>381</v>
      </c>
      <c r="E1284" s="1"/>
      <c r="F1284" s="1" t="s">
        <v>374</v>
      </c>
      <c r="G1284" s="1" t="s">
        <v>374</v>
      </c>
      <c r="H1284" s="2" t="str">
        <f t="shared" si="45"/>
        <v>C</v>
      </c>
      <c r="I1284" s="8">
        <v>20.149999999999999</v>
      </c>
      <c r="J1284" s="8">
        <v>1397.5</v>
      </c>
      <c r="K1284" s="8"/>
      <c r="L1284" s="8">
        <v>6.0670000000000002</v>
      </c>
      <c r="M1284" s="4" t="s">
        <v>571</v>
      </c>
      <c r="N1284" s="8"/>
      <c r="O1284" s="8"/>
      <c r="P1284" s="8"/>
      <c r="Q1284" s="1"/>
      <c r="R1284" s="8"/>
      <c r="S1284" s="8"/>
      <c r="T1284" s="1">
        <v>4</v>
      </c>
      <c r="U1284" s="2" t="str">
        <f>IF(T1284&lt;=1, "1",IF(AND(T1284&gt;1,T1284&lt;4), "2-3", "+4"))</f>
        <v>+4</v>
      </c>
      <c r="V1284" s="8"/>
      <c r="W1284" s="6" t="s">
        <v>3593</v>
      </c>
    </row>
    <row r="1285" spans="1:23" x14ac:dyDescent="0.15">
      <c r="A1285" s="1" t="s">
        <v>202</v>
      </c>
      <c r="B1285" s="2" t="s">
        <v>3936</v>
      </c>
      <c r="C1285" s="2" t="s">
        <v>929</v>
      </c>
      <c r="D1285" s="1" t="s">
        <v>381</v>
      </c>
      <c r="E1285" s="1"/>
      <c r="F1285" s="1" t="s">
        <v>374</v>
      </c>
      <c r="G1285" s="1" t="s">
        <v>374</v>
      </c>
      <c r="H1285" s="2" t="str">
        <f t="shared" si="45"/>
        <v>C</v>
      </c>
      <c r="I1285" s="8"/>
      <c r="J1285" s="8"/>
      <c r="K1285" s="8">
        <v>6</v>
      </c>
      <c r="L1285" s="8">
        <v>5</v>
      </c>
      <c r="M1285" s="4" t="s">
        <v>571</v>
      </c>
      <c r="N1285" s="8"/>
      <c r="O1285" s="8"/>
      <c r="P1285" s="8"/>
      <c r="Q1285" s="1"/>
      <c r="R1285" s="8"/>
      <c r="S1285" s="8"/>
      <c r="T1285" s="1" t="s">
        <v>395</v>
      </c>
      <c r="U1285" s="1" t="s">
        <v>395</v>
      </c>
      <c r="V1285" s="8"/>
      <c r="W1285" s="6" t="s">
        <v>4106</v>
      </c>
    </row>
    <row r="1286" spans="1:23" x14ac:dyDescent="0.15">
      <c r="A1286" s="2" t="s">
        <v>202</v>
      </c>
      <c r="B1286" s="2" t="s">
        <v>3936</v>
      </c>
      <c r="C1286" s="2" t="s">
        <v>929</v>
      </c>
      <c r="D1286" s="2" t="s">
        <v>381</v>
      </c>
      <c r="E1286" s="1"/>
      <c r="F1286" s="2" t="s">
        <v>374</v>
      </c>
      <c r="G1286" s="2" t="s">
        <v>374</v>
      </c>
      <c r="H1286" s="2" t="str">
        <f t="shared" si="45"/>
        <v>C</v>
      </c>
      <c r="I1286" s="5"/>
      <c r="J1286" s="5"/>
      <c r="K1286" s="5"/>
      <c r="L1286" s="5">
        <v>5.6</v>
      </c>
      <c r="M1286" s="4" t="s">
        <v>571</v>
      </c>
      <c r="N1286" s="5"/>
      <c r="O1286" s="5"/>
      <c r="P1286" s="5"/>
      <c r="R1286" s="5"/>
      <c r="S1286" s="5"/>
      <c r="V1286" s="5"/>
      <c r="W1286" s="6" t="s">
        <v>2025</v>
      </c>
    </row>
    <row r="1287" spans="1:23" ht="12.75" customHeight="1" x14ac:dyDescent="0.15">
      <c r="A1287" s="2" t="s">
        <v>202</v>
      </c>
      <c r="B1287" s="2" t="s">
        <v>3936</v>
      </c>
      <c r="C1287" s="2" t="s">
        <v>929</v>
      </c>
      <c r="D1287" s="2" t="s">
        <v>381</v>
      </c>
      <c r="E1287" s="1"/>
      <c r="F1287" s="2" t="s">
        <v>374</v>
      </c>
      <c r="G1287" s="2" t="s">
        <v>374</v>
      </c>
      <c r="H1287" s="2" t="str">
        <f t="shared" si="45"/>
        <v>C</v>
      </c>
      <c r="I1287" s="5">
        <v>19.89</v>
      </c>
      <c r="J1287" s="5">
        <v>1129</v>
      </c>
      <c r="K1287" s="5"/>
      <c r="L1287" s="5">
        <v>8.4</v>
      </c>
      <c r="M1287" s="4" t="s">
        <v>571</v>
      </c>
      <c r="N1287" s="5">
        <v>35.479999999999997</v>
      </c>
      <c r="O1287" s="5">
        <v>20.16</v>
      </c>
      <c r="P1287" s="5">
        <v>8.69</v>
      </c>
      <c r="Q1287" s="2" t="s">
        <v>18</v>
      </c>
      <c r="R1287" s="5">
        <v>72.209999999999994</v>
      </c>
      <c r="S1287" s="5">
        <v>6.8570000000000002</v>
      </c>
      <c r="T1287" s="5">
        <v>2</v>
      </c>
      <c r="U1287" s="2" t="str">
        <f>IF(T1287&lt;=1, "1",IF(AND(T1287&gt;1,T1287&lt;4), "2-3", "+4"))</f>
        <v>2-3</v>
      </c>
      <c r="V1287" s="5">
        <f>S1287*T1287</f>
        <v>13.714</v>
      </c>
      <c r="W1287" s="6" t="s">
        <v>1831</v>
      </c>
    </row>
    <row r="1288" spans="1:23" x14ac:dyDescent="0.15">
      <c r="A1288" s="1" t="s">
        <v>202</v>
      </c>
      <c r="B1288" s="2" t="s">
        <v>3936</v>
      </c>
      <c r="C1288" s="2" t="s">
        <v>929</v>
      </c>
      <c r="D1288" s="1" t="s">
        <v>381</v>
      </c>
      <c r="E1288" s="1"/>
      <c r="F1288" s="1" t="s">
        <v>374</v>
      </c>
      <c r="G1288" s="1" t="s">
        <v>374</v>
      </c>
      <c r="H1288" s="2" t="str">
        <f t="shared" si="45"/>
        <v>C</v>
      </c>
      <c r="I1288" s="8">
        <v>13.025</v>
      </c>
      <c r="J1288" s="8">
        <v>403.1</v>
      </c>
      <c r="K1288" s="8"/>
      <c r="L1288" s="8">
        <v>3.33</v>
      </c>
      <c r="M1288" s="4" t="s">
        <v>571</v>
      </c>
      <c r="N1288" s="8">
        <v>32.5</v>
      </c>
      <c r="O1288" s="8">
        <v>20.5</v>
      </c>
      <c r="P1288" s="8">
        <v>8.0169999999999995</v>
      </c>
      <c r="Q1288" s="1" t="s">
        <v>376</v>
      </c>
      <c r="R1288" s="8">
        <v>26.69</v>
      </c>
      <c r="S1288" s="8">
        <v>6.62</v>
      </c>
      <c r="T1288" s="23">
        <f>MEDIAN(1,3)</f>
        <v>2</v>
      </c>
      <c r="U1288" s="2" t="str">
        <f>IF(T1288&lt;=1, "1",IF(AND(T1288&gt;1,T1288&lt;4), "2-3", "+4"))</f>
        <v>2-3</v>
      </c>
      <c r="V1288" s="5">
        <f>S1288*T1288</f>
        <v>13.24</v>
      </c>
      <c r="W1288" s="6" t="s">
        <v>3592</v>
      </c>
    </row>
    <row r="1289" spans="1:23" x14ac:dyDescent="0.15">
      <c r="A1289" s="1" t="s">
        <v>202</v>
      </c>
      <c r="B1289" s="2" t="s">
        <v>3936</v>
      </c>
      <c r="C1289" s="2" t="s">
        <v>929</v>
      </c>
      <c r="D1289" s="1" t="s">
        <v>381</v>
      </c>
      <c r="E1289" s="1"/>
      <c r="F1289" s="1" t="s">
        <v>217</v>
      </c>
      <c r="G1289" s="1">
        <v>35.01</v>
      </c>
      <c r="H1289" s="2" t="str">
        <f t="shared" si="45"/>
        <v>W</v>
      </c>
      <c r="I1289" s="8"/>
      <c r="J1289" s="8"/>
      <c r="K1289" s="8">
        <v>6</v>
      </c>
      <c r="L1289" s="8"/>
      <c r="M1289" s="4" t="s">
        <v>571</v>
      </c>
      <c r="N1289" s="8"/>
      <c r="O1289" s="8"/>
      <c r="P1289" s="8"/>
      <c r="Q1289" s="1"/>
      <c r="R1289" s="8"/>
      <c r="S1289" s="8"/>
      <c r="T1289" s="23"/>
      <c r="V1289" s="5"/>
      <c r="W1289" s="6" t="s">
        <v>4107</v>
      </c>
    </row>
    <row r="1290" spans="1:23" ht="12.75" customHeight="1" x14ac:dyDescent="0.15">
      <c r="A1290" s="2" t="s">
        <v>202</v>
      </c>
      <c r="B1290" s="2" t="s">
        <v>3936</v>
      </c>
      <c r="C1290" s="2" t="s">
        <v>929</v>
      </c>
      <c r="D1290" s="2" t="s">
        <v>499</v>
      </c>
      <c r="E1290" s="1"/>
      <c r="F1290" s="2" t="s">
        <v>70</v>
      </c>
      <c r="G1290" s="2">
        <v>38.630000000000003</v>
      </c>
      <c r="H1290" s="2" t="str">
        <f t="shared" si="45"/>
        <v>W</v>
      </c>
      <c r="I1290" s="5">
        <v>18.239999999999998</v>
      </c>
      <c r="J1290" s="5">
        <f xml:space="preserve"> 0.0001*((I1290*10)^3.0233)</f>
        <v>685.10380666231083</v>
      </c>
      <c r="K1290" s="5"/>
      <c r="L1290" s="5"/>
      <c r="M1290" s="22" t="s">
        <v>571</v>
      </c>
      <c r="N1290" s="5"/>
      <c r="O1290" s="5"/>
      <c r="P1290" s="5"/>
      <c r="R1290" s="5"/>
      <c r="S1290" s="5"/>
      <c r="V1290" s="5"/>
      <c r="W1290" s="6" t="s">
        <v>2804</v>
      </c>
    </row>
    <row r="1291" spans="1:23" ht="12.75" customHeight="1" x14ac:dyDescent="0.15">
      <c r="A1291" s="2" t="s">
        <v>202</v>
      </c>
      <c r="B1291" s="2" t="s">
        <v>3936</v>
      </c>
      <c r="C1291" s="2" t="s">
        <v>929</v>
      </c>
      <c r="D1291" s="2" t="s">
        <v>499</v>
      </c>
      <c r="E1291" s="1"/>
      <c r="F1291" s="2" t="s">
        <v>4084</v>
      </c>
      <c r="G1291" s="2">
        <v>39</v>
      </c>
      <c r="H1291" s="2" t="str">
        <f t="shared" si="45"/>
        <v>W</v>
      </c>
      <c r="I1291" s="5"/>
      <c r="J1291" s="5"/>
      <c r="K1291" s="5">
        <v>6</v>
      </c>
      <c r="L1291" s="5"/>
      <c r="M1291" s="22" t="s">
        <v>571</v>
      </c>
      <c r="N1291" s="5"/>
      <c r="O1291" s="5"/>
      <c r="P1291" s="5"/>
      <c r="R1291" s="5"/>
      <c r="S1291" s="5"/>
      <c r="V1291" s="5"/>
      <c r="W1291" s="6" t="s">
        <v>4083</v>
      </c>
    </row>
    <row r="1292" spans="1:23" ht="12.75" customHeight="1" x14ac:dyDescent="0.15">
      <c r="A1292" s="2" t="s">
        <v>202</v>
      </c>
      <c r="B1292" s="2" t="s">
        <v>3936</v>
      </c>
      <c r="C1292" s="2" t="s">
        <v>929</v>
      </c>
      <c r="D1292" s="2" t="s">
        <v>499</v>
      </c>
      <c r="E1292" s="1"/>
      <c r="F1292" s="2" t="s">
        <v>374</v>
      </c>
      <c r="G1292" s="2" t="s">
        <v>374</v>
      </c>
      <c r="H1292" s="2" t="str">
        <f t="shared" si="45"/>
        <v>C</v>
      </c>
      <c r="I1292" s="5">
        <v>14</v>
      </c>
      <c r="J1292" s="5">
        <f xml:space="preserve"> 0.0001*((I1292*10)^3.0233)</f>
        <v>307.88525482750936</v>
      </c>
      <c r="K1292" s="5"/>
      <c r="L1292" s="5"/>
      <c r="M1292" s="5" t="s">
        <v>571</v>
      </c>
      <c r="N1292" s="5">
        <v>39</v>
      </c>
      <c r="O1292" s="5">
        <v>21</v>
      </c>
      <c r="P1292" s="5">
        <f xml:space="preserve"> (0.549*N1292) - (0.12*O1292) - 8.528</f>
        <v>10.363000000000001</v>
      </c>
      <c r="Q1292" s="2" t="s">
        <v>376</v>
      </c>
      <c r="R1292" s="5"/>
      <c r="S1292" s="5"/>
      <c r="T1292" s="5"/>
      <c r="U1292" s="5"/>
      <c r="V1292" s="5"/>
      <c r="W1292" s="6" t="s">
        <v>3288</v>
      </c>
    </row>
    <row r="1293" spans="1:23" ht="12.75" customHeight="1" x14ac:dyDescent="0.15">
      <c r="A1293" s="2" t="s">
        <v>202</v>
      </c>
      <c r="B1293" s="2" t="s">
        <v>3936</v>
      </c>
      <c r="C1293" s="2" t="s">
        <v>929</v>
      </c>
      <c r="D1293" s="2" t="s">
        <v>499</v>
      </c>
      <c r="E1293" s="1"/>
      <c r="F1293" s="2" t="s">
        <v>374</v>
      </c>
      <c r="G1293" s="2" t="s">
        <v>374</v>
      </c>
      <c r="H1293" s="2" t="str">
        <f t="shared" si="45"/>
        <v>C</v>
      </c>
      <c r="I1293" s="5">
        <v>18</v>
      </c>
      <c r="J1293" s="5">
        <f xml:space="preserve"> 0.0001*((I1293*10)^3.0233)</f>
        <v>658.21134668316881</v>
      </c>
      <c r="K1293" s="5"/>
      <c r="L1293" s="5"/>
      <c r="M1293" s="5" t="s">
        <v>571</v>
      </c>
      <c r="N1293" s="5">
        <v>44</v>
      </c>
      <c r="O1293" s="5">
        <v>25</v>
      </c>
      <c r="P1293" s="5">
        <f xml:space="preserve"> (0.549*N1293) - (0.12*O1293) - 8.528</f>
        <v>12.628000000000002</v>
      </c>
      <c r="Q1293" s="2" t="s">
        <v>376</v>
      </c>
      <c r="R1293" s="5"/>
      <c r="S1293" s="5"/>
      <c r="T1293" s="5"/>
      <c r="U1293" s="5"/>
      <c r="V1293" s="5"/>
      <c r="W1293" s="6" t="s">
        <v>3288</v>
      </c>
    </row>
    <row r="1294" spans="1:23" ht="12.75" customHeight="1" x14ac:dyDescent="0.15">
      <c r="A1294" s="2" t="s">
        <v>202</v>
      </c>
      <c r="B1294" s="2" t="s">
        <v>3936</v>
      </c>
      <c r="C1294" s="2" t="s">
        <v>929</v>
      </c>
      <c r="D1294" s="2" t="s">
        <v>499</v>
      </c>
      <c r="E1294" s="1"/>
      <c r="F1294" s="2" t="s">
        <v>500</v>
      </c>
      <c r="H1294" s="2" t="s">
        <v>3887</v>
      </c>
      <c r="I1294" s="5"/>
      <c r="J1294" s="5"/>
      <c r="K1294" s="5"/>
      <c r="L1294" s="5">
        <v>3.5</v>
      </c>
      <c r="M1294" s="5" t="s">
        <v>571</v>
      </c>
      <c r="N1294" s="5">
        <v>38.33</v>
      </c>
      <c r="O1294" s="5">
        <v>19.670000000000002</v>
      </c>
      <c r="P1294" s="5">
        <f xml:space="preserve"> (0.549*N1294) - (0.12*O1294) - 8.528</f>
        <v>10.154769999999997</v>
      </c>
      <c r="Q1294" s="2" t="s">
        <v>376</v>
      </c>
      <c r="R1294" s="5">
        <f>P1294*L1294</f>
        <v>35.54169499999999</v>
      </c>
      <c r="S1294" s="5"/>
      <c r="T1294" s="5"/>
      <c r="U1294" s="5"/>
      <c r="V1294" s="5"/>
      <c r="W1294" s="6" t="s">
        <v>2819</v>
      </c>
    </row>
    <row r="1295" spans="1:23" ht="12.75" customHeight="1" x14ac:dyDescent="0.15">
      <c r="A1295" s="2" t="s">
        <v>202</v>
      </c>
      <c r="B1295" s="2" t="s">
        <v>3936</v>
      </c>
      <c r="C1295" s="2" t="s">
        <v>929</v>
      </c>
      <c r="D1295" s="2" t="s">
        <v>755</v>
      </c>
      <c r="E1295" s="1"/>
      <c r="F1295" s="2" t="s">
        <v>374</v>
      </c>
      <c r="G1295" s="2" t="s">
        <v>374</v>
      </c>
      <c r="H1295" s="2" t="str">
        <f t="shared" si="45"/>
        <v>C</v>
      </c>
      <c r="I1295" s="5">
        <v>22</v>
      </c>
      <c r="J1295" s="5">
        <v>1516</v>
      </c>
      <c r="K1295" s="5"/>
      <c r="L1295" s="5">
        <v>10.71</v>
      </c>
      <c r="M1295" s="4" t="s">
        <v>571</v>
      </c>
      <c r="N1295" s="5"/>
      <c r="O1295" s="5"/>
      <c r="P1295" s="5"/>
      <c r="R1295" s="5"/>
      <c r="S1295" s="5"/>
      <c r="T1295" s="5">
        <v>2</v>
      </c>
      <c r="U1295" s="2" t="str">
        <f>IF(T1295&lt;=1, "1",IF(AND(T1295&gt;1,T1295&lt;4), "2-3", "+4"))</f>
        <v>2-3</v>
      </c>
      <c r="V1295" s="5"/>
      <c r="W1295" s="6" t="s">
        <v>3357</v>
      </c>
    </row>
    <row r="1296" spans="1:23" x14ac:dyDescent="0.15">
      <c r="A1296" s="2" t="s">
        <v>202</v>
      </c>
      <c r="B1296" s="2" t="s">
        <v>3936</v>
      </c>
      <c r="C1296" s="2" t="s">
        <v>929</v>
      </c>
      <c r="D1296" s="2" t="s">
        <v>755</v>
      </c>
      <c r="E1296" s="1"/>
      <c r="F1296" s="2" t="s">
        <v>216</v>
      </c>
      <c r="G1296" s="2">
        <v>25.1</v>
      </c>
      <c r="H1296" s="2" t="str">
        <f t="shared" si="45"/>
        <v>W</v>
      </c>
      <c r="I1296" s="5">
        <v>22.17</v>
      </c>
      <c r="J1296" s="5">
        <v>1444</v>
      </c>
      <c r="K1296" s="7">
        <f>MEDIAN(5,7)</f>
        <v>6</v>
      </c>
      <c r="L1296" s="5">
        <v>12.6</v>
      </c>
      <c r="M1296" s="4" t="s">
        <v>571</v>
      </c>
      <c r="N1296" s="5">
        <v>34.1</v>
      </c>
      <c r="O1296" s="5">
        <v>20.3</v>
      </c>
      <c r="P1296" s="5">
        <v>8</v>
      </c>
      <c r="Q1296" s="2" t="s">
        <v>18</v>
      </c>
      <c r="R1296" s="5">
        <v>100.8</v>
      </c>
      <c r="S1296" s="5">
        <v>6.98</v>
      </c>
      <c r="T1296" s="2">
        <v>1</v>
      </c>
      <c r="U1296" s="2" t="str">
        <f>IF(T1296&lt;=1, "1",IF(AND(T1296&gt;1,T1296&lt;4), "2-3", "+4"))</f>
        <v>1</v>
      </c>
      <c r="V1296" s="5">
        <f>S1296*T1296</f>
        <v>6.98</v>
      </c>
      <c r="W1296" s="6" t="s">
        <v>1833</v>
      </c>
    </row>
    <row r="1297" spans="1:23" x14ac:dyDescent="0.15">
      <c r="A1297" s="2" t="s">
        <v>202</v>
      </c>
      <c r="B1297" s="2" t="s">
        <v>3936</v>
      </c>
      <c r="C1297" s="2" t="s">
        <v>929</v>
      </c>
      <c r="D1297" s="2" t="s">
        <v>755</v>
      </c>
      <c r="E1297" s="1"/>
      <c r="F1297" s="2" t="s">
        <v>374</v>
      </c>
      <c r="G1297" s="2" t="s">
        <v>374</v>
      </c>
      <c r="H1297" s="2" t="str">
        <f t="shared" si="45"/>
        <v>C</v>
      </c>
      <c r="I1297" s="5">
        <v>25.85</v>
      </c>
      <c r="J1297" s="5">
        <v>2215</v>
      </c>
      <c r="K1297" s="5"/>
      <c r="L1297" s="7">
        <v>13.36</v>
      </c>
      <c r="M1297" s="4" t="s">
        <v>571</v>
      </c>
      <c r="N1297" s="5"/>
      <c r="O1297" s="5"/>
      <c r="P1297" s="5"/>
      <c r="R1297" s="5"/>
      <c r="S1297" s="5"/>
      <c r="T1297" s="2" t="s">
        <v>382</v>
      </c>
      <c r="U1297" s="40" t="s">
        <v>395</v>
      </c>
      <c r="V1297" s="5"/>
      <c r="W1297" s="6" t="s">
        <v>2820</v>
      </c>
    </row>
    <row r="1298" spans="1:23" x14ac:dyDescent="0.15">
      <c r="A1298" s="2" t="s">
        <v>202</v>
      </c>
      <c r="B1298" s="2" t="s">
        <v>3936</v>
      </c>
      <c r="C1298" s="2" t="s">
        <v>951</v>
      </c>
      <c r="D1298" s="2" t="s">
        <v>589</v>
      </c>
      <c r="E1298" s="1"/>
      <c r="F1298" s="2" t="s">
        <v>204</v>
      </c>
      <c r="H1298" s="2" t="s">
        <v>3887</v>
      </c>
      <c r="I1298" s="5"/>
      <c r="J1298" s="5"/>
      <c r="K1298" s="5"/>
      <c r="L1298" s="5">
        <f>MEDIAN(1,3)</f>
        <v>2</v>
      </c>
      <c r="M1298" s="4" t="s">
        <v>571</v>
      </c>
      <c r="N1298" s="5">
        <v>44.4</v>
      </c>
      <c r="O1298" s="5">
        <v>25.4</v>
      </c>
      <c r="P1298" s="5">
        <v>17.516999999999999</v>
      </c>
      <c r="Q1298" s="2" t="s">
        <v>376</v>
      </c>
      <c r="R1298" s="5">
        <f>P1298*L1298</f>
        <v>35.033999999999999</v>
      </c>
      <c r="S1298" s="5"/>
      <c r="V1298" s="5"/>
      <c r="W1298" s="6" t="s">
        <v>3647</v>
      </c>
    </row>
    <row r="1299" spans="1:23" ht="12.75" customHeight="1" x14ac:dyDescent="0.15">
      <c r="A1299" s="2" t="s">
        <v>202</v>
      </c>
      <c r="B1299" s="2" t="s">
        <v>3936</v>
      </c>
      <c r="C1299" s="2" t="s">
        <v>951</v>
      </c>
      <c r="D1299" s="2" t="s">
        <v>589</v>
      </c>
      <c r="E1299" s="1"/>
      <c r="F1299" s="2" t="s">
        <v>204</v>
      </c>
      <c r="G1299" s="2">
        <v>30.31</v>
      </c>
      <c r="H1299" s="2" t="str">
        <f t="shared" si="45"/>
        <v>W</v>
      </c>
      <c r="I1299" s="5">
        <v>13.8</v>
      </c>
      <c r="J1299" s="5">
        <v>384.4</v>
      </c>
      <c r="K1299" s="5">
        <v>7</v>
      </c>
      <c r="L1299" s="5"/>
      <c r="M1299" s="4" t="s">
        <v>571</v>
      </c>
      <c r="N1299" s="5"/>
      <c r="O1299" s="5"/>
      <c r="P1299" s="5"/>
      <c r="R1299" s="5"/>
      <c r="S1299" s="5"/>
      <c r="V1299" s="5"/>
      <c r="W1299" s="6" t="s">
        <v>2821</v>
      </c>
    </row>
    <row r="1300" spans="1:23" x14ac:dyDescent="0.15">
      <c r="A1300" s="2" t="s">
        <v>202</v>
      </c>
      <c r="B1300" s="2" t="s">
        <v>3936</v>
      </c>
      <c r="C1300" s="2" t="s">
        <v>951</v>
      </c>
      <c r="D1300" s="2" t="s">
        <v>589</v>
      </c>
      <c r="E1300" s="1"/>
      <c r="F1300" s="2" t="s">
        <v>204</v>
      </c>
      <c r="G1300" s="2" t="s">
        <v>374</v>
      </c>
      <c r="H1300" s="2" t="str">
        <f t="shared" si="45"/>
        <v>C</v>
      </c>
      <c r="I1300" s="5">
        <v>14.37</v>
      </c>
      <c r="J1300" s="5">
        <v>528.33000000000004</v>
      </c>
      <c r="K1300" s="7"/>
      <c r="L1300" s="5">
        <v>1.92</v>
      </c>
      <c r="M1300" s="4" t="s">
        <v>571</v>
      </c>
      <c r="N1300" s="5">
        <v>41.74</v>
      </c>
      <c r="O1300" s="5">
        <v>24.58</v>
      </c>
      <c r="P1300" s="5">
        <v>14.47</v>
      </c>
      <c r="Q1300" s="2" t="s">
        <v>18</v>
      </c>
      <c r="R1300" s="5">
        <v>27.78</v>
      </c>
      <c r="S1300" s="5">
        <v>5.26</v>
      </c>
      <c r="T1300" s="9">
        <f>MEDIAN(1,2)</f>
        <v>1.5</v>
      </c>
      <c r="U1300" s="2" t="str">
        <f>IF(T1300&lt;=1, "1",IF(AND(T1300&gt;1,T1300&lt;4), "2-3", "+4"))</f>
        <v>2-3</v>
      </c>
      <c r="V1300" s="5">
        <f>S1300*T1300</f>
        <v>7.89</v>
      </c>
      <c r="W1300" s="6" t="s">
        <v>2822</v>
      </c>
    </row>
    <row r="1301" spans="1:23" x14ac:dyDescent="0.15">
      <c r="A1301" s="2" t="s">
        <v>202</v>
      </c>
      <c r="B1301" s="2" t="s">
        <v>3936</v>
      </c>
      <c r="C1301" s="2" t="s">
        <v>951</v>
      </c>
      <c r="D1301" s="2" t="s">
        <v>590</v>
      </c>
      <c r="E1301" s="1" t="s">
        <v>3501</v>
      </c>
      <c r="F1301" s="2" t="s">
        <v>912</v>
      </c>
      <c r="G1301" s="2" t="s">
        <v>374</v>
      </c>
      <c r="H1301" s="2" t="str">
        <f t="shared" si="45"/>
        <v>C</v>
      </c>
      <c r="I1301" s="5">
        <v>21.73</v>
      </c>
      <c r="J1301" s="5">
        <v>1668.2</v>
      </c>
      <c r="K1301" s="5"/>
      <c r="L1301" s="5"/>
      <c r="M1301" s="2" t="s">
        <v>571</v>
      </c>
      <c r="N1301" s="5"/>
      <c r="O1301" s="5"/>
      <c r="P1301" s="5"/>
      <c r="R1301" s="5"/>
      <c r="S1301" s="5"/>
      <c r="V1301" s="5"/>
      <c r="W1301" s="6" t="s">
        <v>2829</v>
      </c>
    </row>
    <row r="1302" spans="1:23" x14ac:dyDescent="0.15">
      <c r="A1302" s="2" t="s">
        <v>202</v>
      </c>
      <c r="B1302" s="2" t="s">
        <v>3936</v>
      </c>
      <c r="C1302" s="2" t="s">
        <v>951</v>
      </c>
      <c r="D1302" s="2" t="s">
        <v>590</v>
      </c>
      <c r="E1302" s="1" t="s">
        <v>3501</v>
      </c>
      <c r="F1302" s="2" t="s">
        <v>374</v>
      </c>
      <c r="G1302" s="2" t="s">
        <v>374</v>
      </c>
      <c r="H1302" s="2" t="str">
        <f t="shared" si="45"/>
        <v>C</v>
      </c>
      <c r="I1302" s="5"/>
      <c r="J1302" s="5"/>
      <c r="K1302" s="5"/>
      <c r="L1302" s="7">
        <v>4.25</v>
      </c>
      <c r="M1302" s="2" t="s">
        <v>571</v>
      </c>
      <c r="N1302" s="5">
        <v>48.92</v>
      </c>
      <c r="O1302" s="5">
        <v>27.65</v>
      </c>
      <c r="P1302" s="5">
        <v>21.71</v>
      </c>
      <c r="Q1302" s="2" t="s">
        <v>18</v>
      </c>
      <c r="R1302" s="5">
        <f>P1302*L1302</f>
        <v>92.267499999999998</v>
      </c>
      <c r="S1302" s="5"/>
      <c r="V1302" s="5"/>
      <c r="W1302" s="6" t="s">
        <v>3267</v>
      </c>
    </row>
    <row r="1303" spans="1:23" x14ac:dyDescent="0.15">
      <c r="A1303" s="2" t="s">
        <v>202</v>
      </c>
      <c r="B1303" s="2" t="s">
        <v>3936</v>
      </c>
      <c r="C1303" s="2" t="s">
        <v>951</v>
      </c>
      <c r="D1303" s="2" t="s">
        <v>590</v>
      </c>
      <c r="E1303" s="1" t="s">
        <v>950</v>
      </c>
      <c r="F1303" s="2" t="s">
        <v>374</v>
      </c>
      <c r="G1303" s="2" t="s">
        <v>374</v>
      </c>
      <c r="H1303" s="2" t="str">
        <f t="shared" si="45"/>
        <v>C</v>
      </c>
      <c r="I1303" s="5"/>
      <c r="J1303" s="5"/>
      <c r="K1303" s="5"/>
      <c r="L1303" s="7">
        <v>5.33</v>
      </c>
      <c r="M1303" s="2" t="s">
        <v>571</v>
      </c>
      <c r="N1303" s="5">
        <v>44.52</v>
      </c>
      <c r="O1303" s="5">
        <v>26.84</v>
      </c>
      <c r="P1303" s="5">
        <v>26.84</v>
      </c>
      <c r="Q1303" s="2" t="s">
        <v>18</v>
      </c>
      <c r="R1303" s="5">
        <f>P1303*L1303</f>
        <v>143.05719999999999</v>
      </c>
      <c r="S1303" s="5"/>
      <c r="V1303" s="5"/>
      <c r="W1303" s="6" t="s">
        <v>3267</v>
      </c>
    </row>
    <row r="1304" spans="1:23" x14ac:dyDescent="0.15">
      <c r="A1304" s="2" t="s">
        <v>202</v>
      </c>
      <c r="B1304" s="2" t="s">
        <v>3936</v>
      </c>
      <c r="C1304" s="2" t="s">
        <v>951</v>
      </c>
      <c r="D1304" s="2" t="s">
        <v>590</v>
      </c>
      <c r="E1304" s="1" t="s">
        <v>3501</v>
      </c>
      <c r="F1304" s="2" t="s">
        <v>912</v>
      </c>
      <c r="G1304" s="2">
        <v>6.93</v>
      </c>
      <c r="H1304" s="2" t="str">
        <f t="shared" si="45"/>
        <v>W</v>
      </c>
      <c r="I1304" s="5">
        <v>21.02</v>
      </c>
      <c r="J1304" s="5">
        <f xml:space="preserve"> 4.3439*I1304^1.846</f>
        <v>1200.7699328344577</v>
      </c>
      <c r="K1304" s="5"/>
      <c r="L1304" s="5"/>
      <c r="M1304" s="2" t="s">
        <v>571</v>
      </c>
      <c r="N1304" s="5"/>
      <c r="O1304" s="5"/>
      <c r="P1304" s="5"/>
      <c r="R1304" s="5"/>
      <c r="S1304" s="5"/>
      <c r="V1304" s="5"/>
      <c r="W1304" s="6" t="s">
        <v>2830</v>
      </c>
    </row>
    <row r="1305" spans="1:23" x14ac:dyDescent="0.15">
      <c r="A1305" s="2" t="s">
        <v>202</v>
      </c>
      <c r="B1305" s="2" t="s">
        <v>3936</v>
      </c>
      <c r="C1305" s="2" t="s">
        <v>951</v>
      </c>
      <c r="D1305" s="2" t="s">
        <v>590</v>
      </c>
      <c r="E1305" s="1"/>
      <c r="F1305" s="2" t="s">
        <v>374</v>
      </c>
      <c r="G1305" s="2" t="s">
        <v>374</v>
      </c>
      <c r="H1305" s="2" t="str">
        <f t="shared" si="45"/>
        <v>C</v>
      </c>
      <c r="I1305" s="5"/>
      <c r="J1305" s="5"/>
      <c r="K1305" s="7"/>
      <c r="L1305" s="7">
        <f>MEDIAN(2,3)</f>
        <v>2.5</v>
      </c>
      <c r="M1305" s="2" t="s">
        <v>571</v>
      </c>
      <c r="N1305" s="5">
        <v>47</v>
      </c>
      <c r="O1305" s="5">
        <v>25.5</v>
      </c>
      <c r="P1305" s="5">
        <v>18.600000000000001</v>
      </c>
      <c r="Q1305" s="2" t="s">
        <v>18</v>
      </c>
      <c r="R1305" s="5">
        <f>P1305*L1305</f>
        <v>46.5</v>
      </c>
      <c r="S1305" s="5"/>
      <c r="V1305" s="5"/>
      <c r="W1305" s="6" t="s">
        <v>2826</v>
      </c>
    </row>
    <row r="1306" spans="1:23" x14ac:dyDescent="0.15">
      <c r="A1306" s="2" t="s">
        <v>202</v>
      </c>
      <c r="B1306" s="2" t="s">
        <v>3936</v>
      </c>
      <c r="C1306" s="2" t="s">
        <v>951</v>
      </c>
      <c r="D1306" s="2" t="s">
        <v>590</v>
      </c>
      <c r="E1306" s="1"/>
      <c r="F1306" s="2" t="s">
        <v>374</v>
      </c>
      <c r="G1306" s="2" t="s">
        <v>374</v>
      </c>
      <c r="H1306" s="2" t="str">
        <f t="shared" si="45"/>
        <v>C</v>
      </c>
      <c r="I1306" s="5"/>
      <c r="J1306" s="5"/>
      <c r="K1306" s="5"/>
      <c r="L1306" s="5">
        <v>3.02</v>
      </c>
      <c r="M1306" s="2" t="s">
        <v>571</v>
      </c>
      <c r="N1306" s="5"/>
      <c r="O1306" s="5"/>
      <c r="P1306" s="5"/>
      <c r="R1306" s="5"/>
      <c r="S1306" s="5"/>
      <c r="V1306" s="5"/>
      <c r="W1306" s="6" t="s">
        <v>2828</v>
      </c>
    </row>
    <row r="1307" spans="1:23" x14ac:dyDescent="0.15">
      <c r="A1307" s="2" t="s">
        <v>202</v>
      </c>
      <c r="B1307" s="2" t="s">
        <v>3936</v>
      </c>
      <c r="C1307" s="2" t="s">
        <v>951</v>
      </c>
      <c r="D1307" s="2" t="s">
        <v>590</v>
      </c>
      <c r="E1307" s="1" t="s">
        <v>950</v>
      </c>
      <c r="F1307" s="2" t="s">
        <v>591</v>
      </c>
      <c r="G1307" s="2" t="s">
        <v>374</v>
      </c>
      <c r="H1307" s="2" t="str">
        <f t="shared" si="45"/>
        <v>C</v>
      </c>
      <c r="I1307" s="5">
        <v>33</v>
      </c>
      <c r="J1307" s="5">
        <f xml:space="preserve"> 4.3439*I1307^1.846</f>
        <v>2760.9373498818809</v>
      </c>
      <c r="K1307" s="5"/>
      <c r="L1307" s="7">
        <v>8</v>
      </c>
      <c r="M1307" s="2" t="s">
        <v>571</v>
      </c>
      <c r="N1307" s="7"/>
      <c r="O1307" s="5"/>
      <c r="P1307" s="5"/>
      <c r="R1307" s="5"/>
      <c r="S1307" s="5"/>
      <c r="V1307" s="5"/>
      <c r="W1307" s="6" t="s">
        <v>2823</v>
      </c>
    </row>
    <row r="1308" spans="1:23" x14ac:dyDescent="0.15">
      <c r="A1308" s="2" t="s">
        <v>202</v>
      </c>
      <c r="B1308" s="2" t="s">
        <v>3936</v>
      </c>
      <c r="C1308" s="2" t="s">
        <v>951</v>
      </c>
      <c r="D1308" s="2" t="s">
        <v>590</v>
      </c>
      <c r="E1308" s="1" t="s">
        <v>950</v>
      </c>
      <c r="F1308" s="2" t="s">
        <v>204</v>
      </c>
      <c r="G1308" s="2">
        <v>19.2</v>
      </c>
      <c r="H1308" s="2" t="str">
        <f t="shared" si="45"/>
        <v>W</v>
      </c>
      <c r="I1308" s="5"/>
      <c r="J1308" s="5"/>
      <c r="K1308" s="5"/>
      <c r="L1308" s="5"/>
      <c r="M1308" s="2" t="s">
        <v>571</v>
      </c>
      <c r="N1308" s="5">
        <v>45.5</v>
      </c>
      <c r="O1308" s="5">
        <v>26</v>
      </c>
      <c r="P1308" s="5">
        <f xml:space="preserve"> 0.424*N1308 + 1.227*O1308 - 32.474</f>
        <v>18.720000000000006</v>
      </c>
      <c r="Q1308" s="2" t="s">
        <v>376</v>
      </c>
      <c r="R1308" s="5"/>
      <c r="S1308" s="5"/>
      <c r="V1308" s="5"/>
      <c r="W1308" s="6" t="s">
        <v>3641</v>
      </c>
    </row>
    <row r="1309" spans="1:23" x14ac:dyDescent="0.15">
      <c r="A1309" s="2" t="s">
        <v>202</v>
      </c>
      <c r="B1309" s="2" t="s">
        <v>3936</v>
      </c>
      <c r="C1309" s="2" t="s">
        <v>951</v>
      </c>
      <c r="D1309" s="2" t="s">
        <v>590</v>
      </c>
      <c r="E1309" s="1" t="s">
        <v>4470</v>
      </c>
      <c r="F1309" s="2" t="s">
        <v>2236</v>
      </c>
      <c r="G1309" s="2">
        <v>27.5</v>
      </c>
      <c r="H1309" s="2" t="str">
        <f t="shared" si="45"/>
        <v>W</v>
      </c>
      <c r="I1309" s="5"/>
      <c r="J1309" s="5"/>
      <c r="K1309" s="5"/>
      <c r="L1309" s="5">
        <v>4.5</v>
      </c>
      <c r="M1309" s="2" t="s">
        <v>571</v>
      </c>
      <c r="N1309" s="5">
        <v>48</v>
      </c>
      <c r="O1309" s="5">
        <v>27.4</v>
      </c>
      <c r="P1309" s="5">
        <v>21.5</v>
      </c>
      <c r="Q1309" s="2" t="s">
        <v>376</v>
      </c>
      <c r="R1309" s="5">
        <v>96.74</v>
      </c>
      <c r="S1309" s="5"/>
      <c r="V1309" s="5"/>
      <c r="W1309" s="6" t="s">
        <v>2824</v>
      </c>
    </row>
    <row r="1310" spans="1:23" x14ac:dyDescent="0.15">
      <c r="A1310" s="2" t="s">
        <v>202</v>
      </c>
      <c r="B1310" s="2" t="s">
        <v>3936</v>
      </c>
      <c r="C1310" s="2" t="s">
        <v>951</v>
      </c>
      <c r="D1310" s="2" t="s">
        <v>590</v>
      </c>
      <c r="E1310" s="1" t="s">
        <v>950</v>
      </c>
      <c r="F1310" s="2" t="s">
        <v>204</v>
      </c>
      <c r="G1310" s="2">
        <v>27</v>
      </c>
      <c r="H1310" s="2" t="str">
        <f t="shared" si="45"/>
        <v>W</v>
      </c>
      <c r="I1310" s="5">
        <v>17.5</v>
      </c>
      <c r="J1310" s="5">
        <v>805</v>
      </c>
      <c r="K1310" s="5"/>
      <c r="L1310" s="5">
        <v>3</v>
      </c>
      <c r="M1310" s="2" t="s">
        <v>571</v>
      </c>
      <c r="N1310" s="5">
        <v>44</v>
      </c>
      <c r="O1310" s="5">
        <v>22</v>
      </c>
      <c r="P1310" s="5">
        <v>15</v>
      </c>
      <c r="Q1310" s="2" t="s">
        <v>18</v>
      </c>
      <c r="R1310" s="5">
        <v>45</v>
      </c>
      <c r="S1310" s="5">
        <f>(R1310/J1310)*100</f>
        <v>5.5900621118012426</v>
      </c>
      <c r="V1310" s="5"/>
      <c r="W1310" s="6" t="s">
        <v>2417</v>
      </c>
    </row>
    <row r="1311" spans="1:23" x14ac:dyDescent="0.15">
      <c r="A1311" s="2" t="s">
        <v>202</v>
      </c>
      <c r="B1311" s="2" t="s">
        <v>3936</v>
      </c>
      <c r="C1311" s="2" t="s">
        <v>951</v>
      </c>
      <c r="D1311" s="2" t="s">
        <v>590</v>
      </c>
      <c r="E1311" s="1" t="s">
        <v>950</v>
      </c>
      <c r="F1311" s="2" t="s">
        <v>593</v>
      </c>
      <c r="G1311" s="2">
        <v>11.08</v>
      </c>
      <c r="H1311" s="2" t="str">
        <f t="shared" si="45"/>
        <v>W</v>
      </c>
      <c r="I1311" s="5">
        <f xml:space="preserve"> EXP(LN(J1311/4.3439)/1.846)</f>
        <v>13.084346554701755</v>
      </c>
      <c r="J1311" s="5">
        <v>500.5</v>
      </c>
      <c r="K1311" s="7"/>
      <c r="L1311" s="7"/>
      <c r="M1311" s="2" t="s">
        <v>571</v>
      </c>
      <c r="N1311" s="5"/>
      <c r="O1311" s="5"/>
      <c r="P1311" s="5"/>
      <c r="R1311" s="5"/>
      <c r="S1311" s="5"/>
      <c r="V1311" s="5"/>
      <c r="W1311" s="6" t="s">
        <v>2827</v>
      </c>
    </row>
    <row r="1312" spans="1:23" x14ac:dyDescent="0.15">
      <c r="A1312" s="2" t="s">
        <v>202</v>
      </c>
      <c r="B1312" s="2" t="s">
        <v>3936</v>
      </c>
      <c r="C1312" s="2" t="s">
        <v>951</v>
      </c>
      <c r="D1312" s="2" t="s">
        <v>590</v>
      </c>
      <c r="E1312" s="1" t="s">
        <v>950</v>
      </c>
      <c r="F1312" s="2" t="s">
        <v>593</v>
      </c>
      <c r="G1312" s="2">
        <v>9.6199999999999992</v>
      </c>
      <c r="H1312" s="2" t="str">
        <f t="shared" si="45"/>
        <v>W</v>
      </c>
      <c r="I1312" s="5">
        <f xml:space="preserve"> EXP(LN(J1312/4.3439)/1.846)</f>
        <v>15.374812654003692</v>
      </c>
      <c r="J1312" s="5">
        <v>674.11</v>
      </c>
      <c r="K1312" s="7"/>
      <c r="L1312" s="7"/>
      <c r="M1312" s="2" t="s">
        <v>571</v>
      </c>
      <c r="N1312" s="5"/>
      <c r="O1312" s="5"/>
      <c r="P1312" s="5"/>
      <c r="R1312" s="5"/>
      <c r="S1312" s="5"/>
      <c r="V1312" s="5"/>
      <c r="W1312" s="6" t="s">
        <v>2827</v>
      </c>
    </row>
    <row r="1313" spans="1:23" x14ac:dyDescent="0.15">
      <c r="A1313" s="1" t="s">
        <v>202</v>
      </c>
      <c r="B1313" s="2" t="s">
        <v>3936</v>
      </c>
      <c r="C1313" s="2" t="s">
        <v>951</v>
      </c>
      <c r="D1313" s="2" t="s">
        <v>590</v>
      </c>
      <c r="E1313" s="1" t="s">
        <v>3501</v>
      </c>
      <c r="F1313" s="1" t="s">
        <v>912</v>
      </c>
      <c r="G1313" s="1" t="s">
        <v>374</v>
      </c>
      <c r="H1313" s="2" t="str">
        <f t="shared" si="45"/>
        <v>C</v>
      </c>
      <c r="I1313" s="8">
        <v>18</v>
      </c>
      <c r="J1313" s="8">
        <v>927.3</v>
      </c>
      <c r="K1313" s="8">
        <v>5</v>
      </c>
      <c r="L1313" s="8">
        <v>4</v>
      </c>
      <c r="M1313" s="5" t="s">
        <v>571</v>
      </c>
      <c r="N1313" s="8"/>
      <c r="O1313" s="8"/>
      <c r="P1313" s="8"/>
      <c r="Q1313" s="1"/>
      <c r="R1313" s="8"/>
      <c r="S1313" s="8"/>
      <c r="T1313" s="1" t="s">
        <v>382</v>
      </c>
      <c r="U1313" s="40" t="s">
        <v>395</v>
      </c>
      <c r="V1313" s="8"/>
      <c r="W1313" s="6" t="s">
        <v>3594</v>
      </c>
    </row>
    <row r="1314" spans="1:23" x14ac:dyDescent="0.15">
      <c r="A1314" s="1" t="s">
        <v>202</v>
      </c>
      <c r="B1314" s="2" t="s">
        <v>3936</v>
      </c>
      <c r="C1314" s="1" t="s">
        <v>951</v>
      </c>
      <c r="D1314" s="1" t="s">
        <v>590</v>
      </c>
      <c r="E1314" s="1" t="s">
        <v>950</v>
      </c>
      <c r="F1314" s="1" t="s">
        <v>3901</v>
      </c>
      <c r="G1314" s="1">
        <v>13</v>
      </c>
      <c r="H1314" s="1" t="s">
        <v>3887</v>
      </c>
      <c r="I1314" s="8">
        <v>22.3</v>
      </c>
      <c r="J1314" s="8">
        <v>1316</v>
      </c>
      <c r="K1314" s="8"/>
      <c r="L1314" s="8">
        <v>6.09</v>
      </c>
      <c r="M1314" s="8" t="s">
        <v>571</v>
      </c>
      <c r="N1314" s="8">
        <v>45.1</v>
      </c>
      <c r="O1314" s="8">
        <v>26.16</v>
      </c>
      <c r="P1314" s="8">
        <v>19.100000000000001</v>
      </c>
      <c r="Q1314" s="1" t="s">
        <v>18</v>
      </c>
      <c r="R1314" s="8">
        <v>116.32</v>
      </c>
      <c r="S1314" s="8">
        <v>8.84</v>
      </c>
      <c r="T1314" s="1"/>
      <c r="U1314" s="1"/>
      <c r="V1314" s="8"/>
      <c r="W1314" s="6" t="s">
        <v>3902</v>
      </c>
    </row>
    <row r="1315" spans="1:23" x14ac:dyDescent="0.15">
      <c r="A1315" s="2" t="s">
        <v>202</v>
      </c>
      <c r="B1315" s="2" t="s">
        <v>3936</v>
      </c>
      <c r="C1315" s="2" t="s">
        <v>951</v>
      </c>
      <c r="D1315" s="2" t="s">
        <v>590</v>
      </c>
      <c r="E1315" s="1" t="s">
        <v>950</v>
      </c>
      <c r="F1315" s="2" t="s">
        <v>204</v>
      </c>
      <c r="G1315" s="2">
        <v>13</v>
      </c>
      <c r="H1315" s="2" t="str">
        <f t="shared" ref="H1315:H1378" si="46">IF(G1315="captive","C","W")</f>
        <v>W</v>
      </c>
      <c r="I1315" s="5">
        <v>22.3</v>
      </c>
      <c r="J1315" s="5">
        <v>1316</v>
      </c>
      <c r="K1315" s="5"/>
      <c r="L1315" s="5">
        <v>6.09</v>
      </c>
      <c r="M1315" s="2" t="s">
        <v>571</v>
      </c>
      <c r="N1315" s="5">
        <v>45.1</v>
      </c>
      <c r="O1315" s="5">
        <v>26.16</v>
      </c>
      <c r="P1315" s="5">
        <v>19.100000000000001</v>
      </c>
      <c r="Q1315" s="2" t="s">
        <v>18</v>
      </c>
      <c r="R1315" s="5">
        <f>P1315*L1315</f>
        <v>116.319</v>
      </c>
      <c r="S1315" s="5">
        <f>(R1315/J1315)*100</f>
        <v>8.838829787234042</v>
      </c>
      <c r="V1315" s="5"/>
      <c r="W1315" s="6" t="s">
        <v>2139</v>
      </c>
    </row>
    <row r="1316" spans="1:23" x14ac:dyDescent="0.15">
      <c r="A1316" s="2" t="s">
        <v>202</v>
      </c>
      <c r="B1316" s="2" t="s">
        <v>3936</v>
      </c>
      <c r="C1316" s="2" t="s">
        <v>951</v>
      </c>
      <c r="D1316" s="2" t="s">
        <v>590</v>
      </c>
      <c r="E1316" s="1"/>
      <c r="F1316" s="2" t="s">
        <v>374</v>
      </c>
      <c r="G1316" s="2" t="s">
        <v>374</v>
      </c>
      <c r="H1316" s="2" t="str">
        <f t="shared" si="46"/>
        <v>C</v>
      </c>
      <c r="I1316" s="5"/>
      <c r="J1316" s="5"/>
      <c r="K1316" s="7"/>
      <c r="L1316" s="7">
        <v>7</v>
      </c>
      <c r="M1316" s="2" t="s">
        <v>571</v>
      </c>
      <c r="N1316" s="5">
        <v>41.33</v>
      </c>
      <c r="O1316" s="5">
        <v>25.67</v>
      </c>
      <c r="P1316" s="5">
        <v>27.5</v>
      </c>
      <c r="Q1316" s="2" t="s">
        <v>18</v>
      </c>
      <c r="R1316" s="5">
        <v>192.5</v>
      </c>
      <c r="S1316" s="5"/>
      <c r="V1316" s="5"/>
      <c r="W1316" s="6" t="s">
        <v>2831</v>
      </c>
    </row>
    <row r="1317" spans="1:23" x14ac:dyDescent="0.15">
      <c r="A1317" s="2" t="s">
        <v>202</v>
      </c>
      <c r="B1317" s="2" t="s">
        <v>3936</v>
      </c>
      <c r="C1317" s="2" t="s">
        <v>951</v>
      </c>
      <c r="D1317" s="2" t="s">
        <v>590</v>
      </c>
      <c r="E1317" s="1" t="s">
        <v>3500</v>
      </c>
      <c r="F1317" s="2" t="s">
        <v>467</v>
      </c>
      <c r="G1317" s="2" t="s">
        <v>374</v>
      </c>
      <c r="H1317" s="2" t="str">
        <f t="shared" si="46"/>
        <v>C</v>
      </c>
      <c r="I1317" s="5">
        <v>20.8</v>
      </c>
      <c r="J1317" s="5">
        <f xml:space="preserve"> 4.3439*I1317^1.846</f>
        <v>1177.6730459622827</v>
      </c>
      <c r="K1317" s="5"/>
      <c r="L1317" s="5">
        <v>4</v>
      </c>
      <c r="M1317" s="5" t="s">
        <v>571</v>
      </c>
      <c r="N1317" s="5">
        <v>47</v>
      </c>
      <c r="O1317" s="5">
        <v>25.5</v>
      </c>
      <c r="P1317" s="5">
        <v>17.600000000000001</v>
      </c>
      <c r="Q1317" s="2" t="s">
        <v>18</v>
      </c>
      <c r="R1317" s="5">
        <v>70.400000000000006</v>
      </c>
      <c r="S1317" s="5">
        <f>(R1317/J1317)*100</f>
        <v>5.9778900639163224</v>
      </c>
      <c r="V1317" s="5"/>
      <c r="W1317" s="6" t="s">
        <v>2662</v>
      </c>
    </row>
    <row r="1318" spans="1:23" x14ac:dyDescent="0.15">
      <c r="A1318" s="2" t="s">
        <v>202</v>
      </c>
      <c r="B1318" s="2" t="s">
        <v>3936</v>
      </c>
      <c r="C1318" s="2" t="s">
        <v>951</v>
      </c>
      <c r="D1318" s="2" t="s">
        <v>590</v>
      </c>
      <c r="E1318" s="1" t="s">
        <v>950</v>
      </c>
      <c r="F1318" s="2" t="s">
        <v>467</v>
      </c>
      <c r="G1318" s="2" t="s">
        <v>374</v>
      </c>
      <c r="H1318" s="2" t="str">
        <f t="shared" si="46"/>
        <v>C</v>
      </c>
      <c r="I1318" s="5"/>
      <c r="J1318" s="5"/>
      <c r="K1318" s="5"/>
      <c r="L1318" s="5">
        <v>5.3</v>
      </c>
      <c r="M1318" s="5" t="s">
        <v>571</v>
      </c>
      <c r="N1318" s="5">
        <v>35.5</v>
      </c>
      <c r="O1318" s="5">
        <v>25.7</v>
      </c>
      <c r="P1318" s="5">
        <v>15.7</v>
      </c>
      <c r="Q1318" s="2" t="s">
        <v>18</v>
      </c>
      <c r="R1318" s="5">
        <v>83.21</v>
      </c>
      <c r="S1318" s="5"/>
      <c r="V1318" s="5"/>
      <c r="W1318" s="6" t="s">
        <v>2662</v>
      </c>
    </row>
    <row r="1319" spans="1:23" x14ac:dyDescent="0.15">
      <c r="A1319" s="2" t="s">
        <v>202</v>
      </c>
      <c r="B1319" s="2" t="s">
        <v>3936</v>
      </c>
      <c r="C1319" s="2" t="s">
        <v>951</v>
      </c>
      <c r="D1319" s="2" t="s">
        <v>590</v>
      </c>
      <c r="E1319" s="1"/>
      <c r="F1319" s="2" t="s">
        <v>204</v>
      </c>
      <c r="G1319" s="2" t="s">
        <v>374</v>
      </c>
      <c r="H1319" s="2" t="str">
        <f t="shared" si="46"/>
        <v>C</v>
      </c>
      <c r="I1319" s="5">
        <v>25.14</v>
      </c>
      <c r="J1319" s="5">
        <f xml:space="preserve"> 4.3439*I1319^1.846</f>
        <v>1670.9140602582136</v>
      </c>
      <c r="K1319" s="5"/>
      <c r="L1319" s="5"/>
      <c r="M1319" s="2" t="s">
        <v>571</v>
      </c>
      <c r="N1319" s="5"/>
      <c r="O1319" s="5"/>
      <c r="P1319" s="5"/>
      <c r="R1319" s="5"/>
      <c r="S1319" s="5"/>
      <c r="V1319" s="5"/>
      <c r="W1319" s="6" t="s">
        <v>2825</v>
      </c>
    </row>
    <row r="1320" spans="1:23" x14ac:dyDescent="0.15">
      <c r="A1320" s="2" t="s">
        <v>202</v>
      </c>
      <c r="B1320" s="2" t="s">
        <v>3935</v>
      </c>
      <c r="C1320" s="2" t="s">
        <v>3502</v>
      </c>
      <c r="D1320" s="2" t="s">
        <v>756</v>
      </c>
      <c r="E1320" s="1"/>
      <c r="F1320" s="2" t="s">
        <v>438</v>
      </c>
      <c r="G1320" s="2">
        <v>18</v>
      </c>
      <c r="H1320" s="2" t="str">
        <f t="shared" si="46"/>
        <v>W</v>
      </c>
      <c r="I1320" s="5"/>
      <c r="J1320" s="5"/>
      <c r="K1320" s="5"/>
      <c r="L1320" s="5"/>
      <c r="N1320" s="5"/>
      <c r="O1320" s="5"/>
      <c r="P1320" s="5"/>
      <c r="R1320" s="5"/>
      <c r="S1320" s="5"/>
      <c r="V1320" s="5"/>
      <c r="W1320" s="6" t="s">
        <v>838</v>
      </c>
    </row>
    <row r="1321" spans="1:23" x14ac:dyDescent="0.15">
      <c r="A1321" s="2" t="s">
        <v>202</v>
      </c>
      <c r="B1321" s="2" t="s">
        <v>3935</v>
      </c>
      <c r="C1321" s="2" t="s">
        <v>3502</v>
      </c>
      <c r="D1321" s="2" t="s">
        <v>757</v>
      </c>
      <c r="E1321" s="1"/>
      <c r="F1321" s="2" t="s">
        <v>218</v>
      </c>
      <c r="G1321" s="2" t="s">
        <v>374</v>
      </c>
      <c r="H1321" s="2" t="str">
        <f t="shared" si="46"/>
        <v>C</v>
      </c>
      <c r="I1321" s="5"/>
      <c r="J1321" s="5"/>
      <c r="K1321" s="5"/>
      <c r="L1321" s="5">
        <v>2</v>
      </c>
      <c r="N1321" s="5">
        <v>34.799999999999997</v>
      </c>
      <c r="O1321" s="5">
        <v>22</v>
      </c>
      <c r="P1321" s="5">
        <v>10.130000000000001</v>
      </c>
      <c r="Q1321" s="2" t="s">
        <v>376</v>
      </c>
      <c r="R1321" s="5">
        <v>20.25</v>
      </c>
      <c r="S1321" s="5"/>
      <c r="V1321" s="5"/>
      <c r="W1321" s="6" t="s">
        <v>3267</v>
      </c>
    </row>
    <row r="1322" spans="1:23" x14ac:dyDescent="0.15">
      <c r="A1322" s="2" t="s">
        <v>202</v>
      </c>
      <c r="B1322" s="2" t="s">
        <v>3935</v>
      </c>
      <c r="C1322" s="2" t="s">
        <v>3502</v>
      </c>
      <c r="D1322" s="2" t="s">
        <v>757</v>
      </c>
      <c r="E1322" s="1"/>
      <c r="F1322" s="2" t="s">
        <v>218</v>
      </c>
      <c r="H1322" s="2" t="s">
        <v>3887</v>
      </c>
      <c r="I1322" s="5"/>
      <c r="J1322" s="5">
        <f>AVERAGE(507.8,600,583.8,619.2,556.7,566.7,586,523,602.5)</f>
        <v>571.74444444444441</v>
      </c>
      <c r="K1322" s="5"/>
      <c r="L1322" s="5">
        <v>8.5</v>
      </c>
      <c r="N1322" s="5"/>
      <c r="O1322" s="5"/>
      <c r="P1322" s="5"/>
      <c r="R1322" s="5"/>
      <c r="S1322" s="5"/>
      <c r="T1322" s="2" t="s">
        <v>122</v>
      </c>
      <c r="V1322" s="5"/>
      <c r="W1322" s="6" t="s">
        <v>2026</v>
      </c>
    </row>
    <row r="1323" spans="1:23" x14ac:dyDescent="0.15">
      <c r="A1323" s="2" t="s">
        <v>202</v>
      </c>
      <c r="B1323" s="2" t="s">
        <v>3935</v>
      </c>
      <c r="C1323" s="2" t="s">
        <v>3502</v>
      </c>
      <c r="D1323" s="2" t="s">
        <v>757</v>
      </c>
      <c r="E1323" s="1"/>
      <c r="F1323" s="2" t="s">
        <v>218</v>
      </c>
      <c r="H1323" s="2" t="s">
        <v>3887</v>
      </c>
      <c r="I1323" s="5"/>
      <c r="J1323" s="5"/>
      <c r="K1323" s="5"/>
      <c r="L1323" s="5">
        <v>9.6999999999999993</v>
      </c>
      <c r="N1323" s="5">
        <v>33.299999999999997</v>
      </c>
      <c r="O1323" s="5">
        <v>21.6</v>
      </c>
      <c r="P1323" s="5">
        <v>8.9</v>
      </c>
      <c r="Q1323" s="2" t="s">
        <v>18</v>
      </c>
      <c r="R1323" s="5">
        <f>P1323*L1323</f>
        <v>86.33</v>
      </c>
      <c r="S1323" s="5"/>
      <c r="T1323" s="2" t="s">
        <v>122</v>
      </c>
      <c r="V1323" s="5"/>
      <c r="W1323" s="6" t="s">
        <v>2026</v>
      </c>
    </row>
    <row r="1324" spans="1:23" x14ac:dyDescent="0.15">
      <c r="A1324" s="2" t="s">
        <v>202</v>
      </c>
      <c r="B1324" s="2" t="s">
        <v>3935</v>
      </c>
      <c r="C1324" s="2" t="s">
        <v>3502</v>
      </c>
      <c r="D1324" s="2" t="s">
        <v>757</v>
      </c>
      <c r="E1324" s="1"/>
      <c r="F1324" s="2" t="s">
        <v>218</v>
      </c>
      <c r="G1324" s="2">
        <v>24</v>
      </c>
      <c r="H1324" s="2" t="str">
        <f t="shared" si="46"/>
        <v>W</v>
      </c>
      <c r="I1324" s="5">
        <v>19.559999999999999</v>
      </c>
      <c r="J1324" s="5">
        <v>1011</v>
      </c>
      <c r="K1324" s="5"/>
      <c r="L1324" s="5">
        <v>8</v>
      </c>
      <c r="N1324" s="5">
        <v>49.51</v>
      </c>
      <c r="O1324" s="5">
        <v>20.149999999999999</v>
      </c>
      <c r="P1324" s="5">
        <v>10.33</v>
      </c>
      <c r="Q1324" s="2" t="s">
        <v>18</v>
      </c>
      <c r="R1324" s="5">
        <v>82.64</v>
      </c>
      <c r="S1324" s="5">
        <v>8.17</v>
      </c>
      <c r="V1324" s="5"/>
      <c r="W1324" s="6" t="s">
        <v>2536</v>
      </c>
    </row>
    <row r="1325" spans="1:23" x14ac:dyDescent="0.15">
      <c r="A1325" s="2" t="s">
        <v>202</v>
      </c>
      <c r="B1325" s="2" t="s">
        <v>3936</v>
      </c>
      <c r="C1325" s="2" t="s">
        <v>3503</v>
      </c>
      <c r="D1325" s="2" t="s">
        <v>758</v>
      </c>
      <c r="E1325" s="1"/>
      <c r="F1325" s="2" t="s">
        <v>2442</v>
      </c>
      <c r="H1325" s="2" t="s">
        <v>3887</v>
      </c>
      <c r="I1325" s="5">
        <v>20.350000000000001</v>
      </c>
      <c r="J1325" s="5"/>
      <c r="K1325" s="5"/>
      <c r="L1325" s="5"/>
      <c r="M1325" s="2" t="s">
        <v>571</v>
      </c>
      <c r="N1325" s="5"/>
      <c r="O1325" s="5"/>
      <c r="P1325" s="5"/>
      <c r="R1325" s="5"/>
      <c r="S1325" s="5"/>
      <c r="V1325" s="5"/>
      <c r="W1325" s="6" t="s">
        <v>2799</v>
      </c>
    </row>
    <row r="1326" spans="1:23" x14ac:dyDescent="0.15">
      <c r="A1326" s="2" t="s">
        <v>202</v>
      </c>
      <c r="B1326" s="2" t="s">
        <v>3936</v>
      </c>
      <c r="C1326" s="2" t="s">
        <v>3503</v>
      </c>
      <c r="D1326" s="2" t="s">
        <v>758</v>
      </c>
      <c r="E1326" s="1"/>
      <c r="F1326" s="2" t="s">
        <v>374</v>
      </c>
      <c r="G1326" s="2" t="s">
        <v>374</v>
      </c>
      <c r="H1326" s="2" t="str">
        <f t="shared" si="46"/>
        <v>C</v>
      </c>
      <c r="I1326" s="5"/>
      <c r="J1326" s="5"/>
      <c r="K1326" s="5"/>
      <c r="L1326" s="5">
        <v>3</v>
      </c>
      <c r="M1326" s="2" t="s">
        <v>571</v>
      </c>
      <c r="N1326" s="5">
        <v>56</v>
      </c>
      <c r="O1326" s="5">
        <v>27.5</v>
      </c>
      <c r="P1326" s="5">
        <v>25.79</v>
      </c>
      <c r="Q1326" s="2" t="s">
        <v>376</v>
      </c>
      <c r="R1326" s="5">
        <v>77.37</v>
      </c>
      <c r="S1326" s="5"/>
      <c r="V1326" s="5"/>
      <c r="W1326" s="6" t="s">
        <v>3006</v>
      </c>
    </row>
    <row r="1327" spans="1:23" x14ac:dyDescent="0.15">
      <c r="A1327" s="2" t="s">
        <v>202</v>
      </c>
      <c r="B1327" s="2" t="s">
        <v>3935</v>
      </c>
      <c r="C1327" s="2" t="s">
        <v>953</v>
      </c>
      <c r="D1327" s="2" t="s">
        <v>759</v>
      </c>
      <c r="E1327" s="1"/>
      <c r="F1327" s="2" t="s">
        <v>203</v>
      </c>
      <c r="G1327" s="2">
        <v>4</v>
      </c>
      <c r="H1327" s="2" t="str">
        <f t="shared" si="46"/>
        <v>W</v>
      </c>
      <c r="I1327" s="5">
        <v>47.5</v>
      </c>
      <c r="J1327" s="5">
        <v>13532</v>
      </c>
      <c r="K1327" s="5"/>
      <c r="L1327" s="5">
        <v>12</v>
      </c>
      <c r="M1327" s="2" t="s">
        <v>571</v>
      </c>
      <c r="N1327" s="5">
        <v>79</v>
      </c>
      <c r="O1327" s="5">
        <v>43</v>
      </c>
      <c r="P1327" s="5">
        <v>94.3</v>
      </c>
      <c r="Q1327" s="2" t="s">
        <v>18</v>
      </c>
      <c r="R1327" s="5">
        <v>1132</v>
      </c>
      <c r="S1327" s="5">
        <f>(R1327/J1327)*100</f>
        <v>8.3653561927283473</v>
      </c>
      <c r="V1327" s="5"/>
      <c r="W1327" s="6" t="s">
        <v>2417</v>
      </c>
    </row>
    <row r="1328" spans="1:23" x14ac:dyDescent="0.15">
      <c r="A1328" s="2" t="s">
        <v>202</v>
      </c>
      <c r="B1328" s="2" t="s">
        <v>3935</v>
      </c>
      <c r="C1328" s="2" t="s">
        <v>953</v>
      </c>
      <c r="D1328" s="2" t="s">
        <v>759</v>
      </c>
      <c r="E1328" s="1"/>
      <c r="F1328" s="2" t="s">
        <v>374</v>
      </c>
      <c r="G1328" s="2" t="s">
        <v>374</v>
      </c>
      <c r="H1328" s="2" t="str">
        <f t="shared" si="46"/>
        <v>C</v>
      </c>
      <c r="I1328" s="5"/>
      <c r="J1328" s="5"/>
      <c r="K1328" s="5"/>
      <c r="L1328" s="5"/>
      <c r="M1328" s="2" t="s">
        <v>571</v>
      </c>
      <c r="N1328" s="5">
        <v>79</v>
      </c>
      <c r="O1328" s="5">
        <v>41</v>
      </c>
      <c r="P1328" s="5">
        <v>85.24</v>
      </c>
      <c r="Q1328" s="2" t="s">
        <v>376</v>
      </c>
      <c r="R1328" s="5"/>
      <c r="S1328" s="5"/>
      <c r="V1328" s="5"/>
      <c r="W1328" s="6" t="s">
        <v>2001</v>
      </c>
    </row>
    <row r="1329" spans="1:23" ht="12.75" customHeight="1" x14ac:dyDescent="0.15">
      <c r="A1329" s="2" t="s">
        <v>202</v>
      </c>
      <c r="B1329" s="2" t="s">
        <v>3935</v>
      </c>
      <c r="C1329" s="2" t="s">
        <v>944</v>
      </c>
      <c r="D1329" s="2" t="s">
        <v>760</v>
      </c>
      <c r="E1329" s="1" t="s">
        <v>3753</v>
      </c>
      <c r="F1329" s="2" t="s">
        <v>635</v>
      </c>
      <c r="G1329" s="2">
        <v>30.83</v>
      </c>
      <c r="H1329" s="2" t="str">
        <f t="shared" si="46"/>
        <v>W</v>
      </c>
      <c r="I1329" s="5"/>
      <c r="J1329" s="5">
        <v>568.20000000000005</v>
      </c>
      <c r="K1329" s="5"/>
      <c r="L1329" s="5">
        <v>6.7</v>
      </c>
      <c r="M1329" s="2" t="s">
        <v>571</v>
      </c>
      <c r="N1329" s="5">
        <v>40.799999999999997</v>
      </c>
      <c r="O1329" s="5">
        <v>24.1</v>
      </c>
      <c r="P1329" s="5">
        <v>13.57</v>
      </c>
      <c r="Q1329" s="2" t="s">
        <v>376</v>
      </c>
      <c r="R1329" s="5">
        <v>90.91</v>
      </c>
      <c r="S1329" s="5">
        <v>16</v>
      </c>
      <c r="T1329" s="9">
        <f>MEDIAN(1,2)</f>
        <v>1.5</v>
      </c>
      <c r="U1329" s="2" t="str">
        <f>IF(T1329&lt;=1, "1",IF(AND(T1329&gt;1,T1329&lt;4), "2-3", "+4"))</f>
        <v>2-3</v>
      </c>
      <c r="V1329" s="5">
        <f>S1329*T1329</f>
        <v>24</v>
      </c>
      <c r="W1329" s="6" t="s">
        <v>2832</v>
      </c>
    </row>
    <row r="1330" spans="1:23" x14ac:dyDescent="0.15">
      <c r="A1330" s="2" t="s">
        <v>202</v>
      </c>
      <c r="B1330" s="2" t="s">
        <v>3935</v>
      </c>
      <c r="C1330" s="2" t="s">
        <v>944</v>
      </c>
      <c r="D1330" s="2" t="s">
        <v>760</v>
      </c>
      <c r="E1330" s="1" t="s">
        <v>3753</v>
      </c>
      <c r="F1330" s="2" t="s">
        <v>204</v>
      </c>
      <c r="G1330" s="2">
        <v>32.6</v>
      </c>
      <c r="H1330" s="2" t="str">
        <f t="shared" si="46"/>
        <v>W</v>
      </c>
      <c r="I1330" s="5">
        <v>19.2</v>
      </c>
      <c r="J1330" s="5"/>
      <c r="K1330" s="5"/>
      <c r="L1330" s="5">
        <v>6.18</v>
      </c>
      <c r="M1330" s="2" t="s">
        <v>571</v>
      </c>
      <c r="N1330" s="5"/>
      <c r="O1330" s="5"/>
      <c r="P1330" s="5"/>
      <c r="R1330" s="5"/>
      <c r="S1330" s="5"/>
      <c r="V1330" s="5"/>
      <c r="W1330" s="6" t="s">
        <v>3268</v>
      </c>
    </row>
    <row r="1331" spans="1:23" ht="12.75" customHeight="1" x14ac:dyDescent="0.15">
      <c r="A1331" s="2" t="s">
        <v>202</v>
      </c>
      <c r="B1331" s="2" t="s">
        <v>3935</v>
      </c>
      <c r="C1331" s="2" t="s">
        <v>944</v>
      </c>
      <c r="D1331" s="2" t="s">
        <v>760</v>
      </c>
      <c r="E1331" s="1" t="s">
        <v>3753</v>
      </c>
      <c r="F1331" s="2" t="s">
        <v>204</v>
      </c>
      <c r="H1331" s="2" t="s">
        <v>3887</v>
      </c>
      <c r="I1331" s="5"/>
      <c r="J1331" s="5"/>
      <c r="K1331" s="5"/>
      <c r="L1331" s="5"/>
      <c r="M1331" s="2" t="s">
        <v>571</v>
      </c>
      <c r="N1331" s="5">
        <v>37</v>
      </c>
      <c r="O1331" s="5">
        <v>22</v>
      </c>
      <c r="P1331" s="5">
        <v>9.1999999999999993</v>
      </c>
      <c r="Q1331" s="2" t="s">
        <v>376</v>
      </c>
      <c r="R1331" s="5"/>
      <c r="S1331" s="5"/>
      <c r="T1331" s="9"/>
      <c r="U1331" s="9"/>
      <c r="V1331" s="5"/>
      <c r="W1331" s="6" t="s">
        <v>2833</v>
      </c>
    </row>
    <row r="1332" spans="1:23" ht="12.75" customHeight="1" x14ac:dyDescent="0.15">
      <c r="A1332" s="2" t="s">
        <v>202</v>
      </c>
      <c r="B1332" s="2" t="s">
        <v>3935</v>
      </c>
      <c r="C1332" s="2" t="s">
        <v>944</v>
      </c>
      <c r="D1332" s="2" t="s">
        <v>760</v>
      </c>
      <c r="E1332" s="1" t="s">
        <v>3753</v>
      </c>
      <c r="F1332" s="2" t="s">
        <v>374</v>
      </c>
      <c r="G1332" s="2" t="s">
        <v>374</v>
      </c>
      <c r="H1332" s="2" t="str">
        <f t="shared" si="46"/>
        <v>C</v>
      </c>
      <c r="I1332" s="5">
        <v>21.6</v>
      </c>
      <c r="J1332" s="5"/>
      <c r="K1332" s="5"/>
      <c r="L1332" s="5">
        <v>8</v>
      </c>
      <c r="M1332" s="2" t="s">
        <v>571</v>
      </c>
      <c r="N1332" s="5"/>
      <c r="O1332" s="5"/>
      <c r="P1332" s="5"/>
      <c r="R1332" s="5"/>
      <c r="S1332" s="5"/>
      <c r="T1332" s="2">
        <v>2</v>
      </c>
      <c r="U1332" s="2" t="str">
        <f>IF(T1332&lt;=1, "1",IF(AND(T1332&gt;1,T1332&lt;4), "2-3", "+4"))</f>
        <v>2-3</v>
      </c>
      <c r="V1332" s="5"/>
      <c r="W1332" s="6" t="s">
        <v>3643</v>
      </c>
    </row>
    <row r="1333" spans="1:23" ht="12.75" customHeight="1" x14ac:dyDescent="0.15">
      <c r="A1333" s="2" t="s">
        <v>202</v>
      </c>
      <c r="B1333" s="2" t="s">
        <v>3935</v>
      </c>
      <c r="C1333" s="2" t="s">
        <v>944</v>
      </c>
      <c r="D1333" s="2" t="s">
        <v>760</v>
      </c>
      <c r="E1333" s="1" t="s">
        <v>3753</v>
      </c>
      <c r="F1333" s="2" t="s">
        <v>218</v>
      </c>
      <c r="G1333" s="2">
        <v>24</v>
      </c>
      <c r="H1333" s="2" t="str">
        <f t="shared" si="46"/>
        <v>W</v>
      </c>
      <c r="I1333" s="5">
        <v>18.670000000000002</v>
      </c>
      <c r="J1333" s="5">
        <v>605.4</v>
      </c>
      <c r="K1333" s="5"/>
      <c r="L1333" s="5">
        <v>5.5</v>
      </c>
      <c r="M1333" s="2" t="s">
        <v>571</v>
      </c>
      <c r="N1333" s="5">
        <v>35.409999999999997</v>
      </c>
      <c r="O1333" s="5">
        <v>28.32</v>
      </c>
      <c r="P1333" s="5">
        <v>10.9</v>
      </c>
      <c r="Q1333" s="2" t="s">
        <v>18</v>
      </c>
      <c r="R1333" s="5">
        <v>59.95</v>
      </c>
      <c r="S1333" s="5">
        <v>9.9</v>
      </c>
      <c r="T1333" s="9"/>
      <c r="U1333" s="9"/>
      <c r="V1333" s="5"/>
      <c r="W1333" s="6" t="s">
        <v>2536</v>
      </c>
    </row>
    <row r="1334" spans="1:23" ht="12.75" customHeight="1" x14ac:dyDescent="0.15">
      <c r="A1334" s="2" t="s">
        <v>202</v>
      </c>
      <c r="B1334" s="2" t="s">
        <v>3935</v>
      </c>
      <c r="C1334" s="2" t="s">
        <v>944</v>
      </c>
      <c r="D1334" s="2" t="s">
        <v>760</v>
      </c>
      <c r="E1334" s="1" t="s">
        <v>3753</v>
      </c>
      <c r="F1334" s="2" t="s">
        <v>204</v>
      </c>
      <c r="G1334" s="2">
        <v>28.18</v>
      </c>
      <c r="H1334" s="2" t="str">
        <f t="shared" si="46"/>
        <v>W</v>
      </c>
      <c r="I1334" s="5">
        <v>14.7</v>
      </c>
      <c r="J1334" s="5"/>
      <c r="K1334" s="5"/>
      <c r="L1334" s="5"/>
      <c r="M1334" s="2" t="s">
        <v>571</v>
      </c>
      <c r="N1334" s="5"/>
      <c r="O1334" s="5"/>
      <c r="P1334" s="5"/>
      <c r="R1334" s="5"/>
      <c r="S1334" s="5"/>
      <c r="V1334" s="5"/>
      <c r="W1334" s="6" t="s">
        <v>2834</v>
      </c>
    </row>
    <row r="1335" spans="1:23" ht="12.75" customHeight="1" x14ac:dyDescent="0.15">
      <c r="A1335" s="2" t="s">
        <v>202</v>
      </c>
      <c r="B1335" s="2" t="s">
        <v>3935</v>
      </c>
      <c r="C1335" s="2" t="s">
        <v>944</v>
      </c>
      <c r="D1335" s="2" t="s">
        <v>760</v>
      </c>
      <c r="E1335" s="1" t="s">
        <v>3753</v>
      </c>
      <c r="F1335" s="2" t="s">
        <v>204</v>
      </c>
      <c r="H1335" s="2" t="s">
        <v>3887</v>
      </c>
      <c r="I1335" s="5"/>
      <c r="J1335" s="5"/>
      <c r="K1335" s="5"/>
      <c r="L1335" s="7">
        <f>MEDIAN(5,8)</f>
        <v>6.5</v>
      </c>
      <c r="M1335" s="2" t="s">
        <v>571</v>
      </c>
      <c r="N1335" s="5">
        <v>33</v>
      </c>
      <c r="O1335" s="5">
        <v>24</v>
      </c>
      <c r="P1335" s="5">
        <v>11.23</v>
      </c>
      <c r="Q1335" s="2" t="s">
        <v>376</v>
      </c>
      <c r="R1335" s="5">
        <f>P1335*L1335</f>
        <v>72.995000000000005</v>
      </c>
      <c r="S1335" s="5"/>
      <c r="V1335" s="5"/>
      <c r="W1335" s="6" t="s">
        <v>2975</v>
      </c>
    </row>
    <row r="1336" spans="1:23" x14ac:dyDescent="0.15">
      <c r="A1336" s="2" t="s">
        <v>202</v>
      </c>
      <c r="B1336" s="2" t="s">
        <v>3935</v>
      </c>
      <c r="C1336" s="2" t="s">
        <v>944</v>
      </c>
      <c r="D1336" s="2" t="s">
        <v>761</v>
      </c>
      <c r="E1336" s="1"/>
      <c r="F1336" s="2" t="s">
        <v>204</v>
      </c>
      <c r="G1336" s="2" t="s">
        <v>374</v>
      </c>
      <c r="H1336" s="2" t="str">
        <f t="shared" si="46"/>
        <v>C</v>
      </c>
      <c r="I1336" s="5"/>
      <c r="J1336" s="5"/>
      <c r="K1336" s="5"/>
      <c r="L1336" s="5">
        <v>6</v>
      </c>
      <c r="M1336" s="2" t="s">
        <v>571</v>
      </c>
      <c r="N1336" s="5"/>
      <c r="O1336" s="5"/>
      <c r="P1336" s="5"/>
      <c r="R1336" s="5"/>
      <c r="S1336" s="5"/>
      <c r="T1336" s="9"/>
      <c r="U1336" s="9"/>
      <c r="V1336" s="5"/>
      <c r="W1336" s="6" t="s">
        <v>2835</v>
      </c>
    </row>
    <row r="1337" spans="1:23" x14ac:dyDescent="0.15">
      <c r="A1337" s="2" t="s">
        <v>202</v>
      </c>
      <c r="B1337" s="2" t="s">
        <v>3935</v>
      </c>
      <c r="C1337" s="2" t="s">
        <v>944</v>
      </c>
      <c r="D1337" s="2" t="s">
        <v>761</v>
      </c>
      <c r="E1337" s="1"/>
      <c r="F1337" s="2" t="s">
        <v>204</v>
      </c>
      <c r="G1337" s="2">
        <v>26</v>
      </c>
      <c r="H1337" s="2" t="str">
        <f t="shared" si="46"/>
        <v>W</v>
      </c>
      <c r="I1337" s="5"/>
      <c r="J1337" s="5"/>
      <c r="K1337" s="5"/>
      <c r="L1337" s="5"/>
      <c r="M1337" s="2" t="s">
        <v>571</v>
      </c>
      <c r="N1337" s="5"/>
      <c r="O1337" s="5"/>
      <c r="P1337" s="5"/>
      <c r="R1337" s="5"/>
      <c r="S1337" s="5"/>
      <c r="V1337" s="5"/>
      <c r="W1337" s="6" t="s">
        <v>1938</v>
      </c>
    </row>
    <row r="1338" spans="1:23" x14ac:dyDescent="0.15">
      <c r="A1338" s="2" t="s">
        <v>202</v>
      </c>
      <c r="B1338" s="2" t="s">
        <v>3935</v>
      </c>
      <c r="C1338" s="2" t="s">
        <v>944</v>
      </c>
      <c r="D1338" s="2" t="s">
        <v>761</v>
      </c>
      <c r="E1338" s="1"/>
      <c r="F1338" s="2" t="s">
        <v>204</v>
      </c>
      <c r="G1338" s="2">
        <v>26</v>
      </c>
      <c r="H1338" s="2" t="str">
        <f t="shared" si="46"/>
        <v>W</v>
      </c>
      <c r="I1338" s="5">
        <v>17</v>
      </c>
      <c r="J1338" s="5">
        <v>550</v>
      </c>
      <c r="K1338" s="5"/>
      <c r="L1338" s="5"/>
      <c r="M1338" s="2" t="s">
        <v>571</v>
      </c>
      <c r="N1338" s="5">
        <v>47.2</v>
      </c>
      <c r="O1338" s="5">
        <v>20</v>
      </c>
      <c r="P1338" s="5">
        <v>12</v>
      </c>
      <c r="Q1338" s="2" t="s">
        <v>18</v>
      </c>
      <c r="R1338" s="5"/>
      <c r="S1338" s="5"/>
      <c r="V1338" s="5"/>
      <c r="W1338" s="6" t="s">
        <v>1834</v>
      </c>
    </row>
    <row r="1339" spans="1:23" ht="12.75" customHeight="1" x14ac:dyDescent="0.15">
      <c r="A1339" s="2" t="s">
        <v>202</v>
      </c>
      <c r="B1339" s="2" t="s">
        <v>3935</v>
      </c>
      <c r="C1339" s="2" t="s">
        <v>944</v>
      </c>
      <c r="D1339" s="2" t="s">
        <v>761</v>
      </c>
      <c r="E1339" s="1"/>
      <c r="F1339" s="2" t="s">
        <v>374</v>
      </c>
      <c r="G1339" s="2" t="s">
        <v>374</v>
      </c>
      <c r="H1339" s="2" t="str">
        <f t="shared" si="46"/>
        <v>C</v>
      </c>
      <c r="I1339" s="5">
        <v>16.96</v>
      </c>
      <c r="J1339" s="5"/>
      <c r="K1339" s="5"/>
      <c r="L1339" s="5">
        <v>8.5</v>
      </c>
      <c r="M1339" s="2" t="s">
        <v>571</v>
      </c>
      <c r="N1339" s="5"/>
      <c r="O1339" s="5"/>
      <c r="P1339" s="5"/>
      <c r="R1339" s="5"/>
      <c r="S1339" s="5"/>
      <c r="V1339" s="5"/>
      <c r="W1339" s="6" t="s">
        <v>2837</v>
      </c>
    </row>
    <row r="1340" spans="1:23" x14ac:dyDescent="0.15">
      <c r="A1340" s="2" t="s">
        <v>202</v>
      </c>
      <c r="B1340" s="2" t="s">
        <v>3935</v>
      </c>
      <c r="C1340" s="2" t="s">
        <v>944</v>
      </c>
      <c r="D1340" s="2" t="s">
        <v>761</v>
      </c>
      <c r="E1340" s="1"/>
      <c r="F1340" s="2" t="s">
        <v>204</v>
      </c>
      <c r="G1340" s="2">
        <v>26.66</v>
      </c>
      <c r="H1340" s="2" t="str">
        <f t="shared" si="46"/>
        <v>W</v>
      </c>
      <c r="I1340" s="5"/>
      <c r="J1340" s="5"/>
      <c r="K1340" s="5"/>
      <c r="L1340" s="7">
        <f>MEDIAN(6,8)</f>
        <v>7</v>
      </c>
      <c r="M1340" s="2" t="s">
        <v>571</v>
      </c>
      <c r="N1340" s="5"/>
      <c r="O1340" s="5"/>
      <c r="P1340" s="5"/>
      <c r="R1340" s="5"/>
      <c r="S1340" s="5"/>
      <c r="V1340" s="5"/>
      <c r="W1340" s="6" t="s">
        <v>2836</v>
      </c>
    </row>
    <row r="1341" spans="1:23" x14ac:dyDescent="0.15">
      <c r="A1341" s="2" t="s">
        <v>202</v>
      </c>
      <c r="B1341" s="2" t="s">
        <v>3935</v>
      </c>
      <c r="C1341" s="2" t="s">
        <v>944</v>
      </c>
      <c r="D1341" s="2" t="s">
        <v>450</v>
      </c>
      <c r="E1341" s="1"/>
      <c r="F1341" s="2" t="s">
        <v>204</v>
      </c>
      <c r="G1341" s="2">
        <v>27.18</v>
      </c>
      <c r="H1341" s="2" t="str">
        <f t="shared" si="46"/>
        <v>W</v>
      </c>
      <c r="I1341" s="5">
        <v>23.73</v>
      </c>
      <c r="J1341" s="5"/>
      <c r="K1341" s="5"/>
      <c r="L1341" s="5"/>
      <c r="M1341" s="2" t="s">
        <v>571</v>
      </c>
      <c r="N1341" s="5"/>
      <c r="O1341" s="5"/>
      <c r="P1341" s="5"/>
      <c r="R1341" s="5"/>
      <c r="S1341" s="5"/>
      <c r="T1341" s="9"/>
      <c r="U1341" s="9"/>
      <c r="V1341" s="5"/>
      <c r="W1341" s="6" t="s">
        <v>2839</v>
      </c>
    </row>
    <row r="1342" spans="1:23" x14ac:dyDescent="0.15">
      <c r="A1342" s="2" t="s">
        <v>202</v>
      </c>
      <c r="B1342" s="2" t="s">
        <v>3935</v>
      </c>
      <c r="C1342" s="2" t="s">
        <v>944</v>
      </c>
      <c r="D1342" s="2" t="s">
        <v>450</v>
      </c>
      <c r="E1342" s="1"/>
      <c r="F1342" s="2" t="s">
        <v>204</v>
      </c>
      <c r="G1342" s="2">
        <v>32.6</v>
      </c>
      <c r="H1342" s="2" t="str">
        <f t="shared" si="46"/>
        <v>W</v>
      </c>
      <c r="I1342" s="5">
        <v>17.27</v>
      </c>
      <c r="J1342" s="5"/>
      <c r="K1342" s="5"/>
      <c r="L1342" s="5">
        <v>6.97</v>
      </c>
      <c r="M1342" s="2" t="s">
        <v>571</v>
      </c>
      <c r="N1342" s="5"/>
      <c r="O1342" s="5"/>
      <c r="P1342" s="5"/>
      <c r="R1342" s="5"/>
      <c r="S1342" s="5"/>
      <c r="V1342" s="5"/>
      <c r="W1342" s="6" t="s">
        <v>3268</v>
      </c>
    </row>
    <row r="1343" spans="1:23" x14ac:dyDescent="0.15">
      <c r="A1343" s="2" t="s">
        <v>202</v>
      </c>
      <c r="B1343" s="2" t="s">
        <v>3935</v>
      </c>
      <c r="C1343" s="2" t="s">
        <v>944</v>
      </c>
      <c r="D1343" s="2" t="s">
        <v>450</v>
      </c>
      <c r="E1343" s="1"/>
      <c r="F1343" s="2" t="s">
        <v>204</v>
      </c>
      <c r="H1343" s="2" t="s">
        <v>3887</v>
      </c>
      <c r="I1343" s="5"/>
      <c r="J1343" s="5"/>
      <c r="K1343" s="5"/>
      <c r="L1343" s="5">
        <v>11</v>
      </c>
      <c r="M1343" s="2" t="s">
        <v>571</v>
      </c>
      <c r="N1343" s="5">
        <v>38</v>
      </c>
      <c r="O1343" s="5">
        <v>21</v>
      </c>
      <c r="P1343" s="5">
        <v>12.42</v>
      </c>
      <c r="Q1343" s="2" t="s">
        <v>376</v>
      </c>
      <c r="R1343" s="5">
        <v>136.62</v>
      </c>
      <c r="S1343" s="5"/>
      <c r="T1343" s="9"/>
      <c r="U1343" s="9"/>
      <c r="V1343" s="5"/>
      <c r="W1343" s="6" t="s">
        <v>2833</v>
      </c>
    </row>
    <row r="1344" spans="1:23" x14ac:dyDescent="0.15">
      <c r="A1344" s="2" t="s">
        <v>202</v>
      </c>
      <c r="B1344" s="2" t="s">
        <v>3935</v>
      </c>
      <c r="C1344" s="2" t="s">
        <v>944</v>
      </c>
      <c r="D1344" s="2" t="s">
        <v>450</v>
      </c>
      <c r="E1344" s="1"/>
      <c r="F1344" s="2" t="s">
        <v>218</v>
      </c>
      <c r="G1344" s="2" t="s">
        <v>374</v>
      </c>
      <c r="H1344" s="2" t="str">
        <f t="shared" si="46"/>
        <v>C</v>
      </c>
      <c r="I1344" s="5">
        <v>21.7</v>
      </c>
      <c r="J1344" s="5">
        <v>1050</v>
      </c>
      <c r="K1344" s="5"/>
      <c r="L1344" s="5">
        <v>10.5</v>
      </c>
      <c r="M1344" s="2" t="s">
        <v>571</v>
      </c>
      <c r="N1344" s="5">
        <v>50.09</v>
      </c>
      <c r="O1344" s="5">
        <v>20.45</v>
      </c>
      <c r="P1344" s="5">
        <v>10.75</v>
      </c>
      <c r="Q1344" s="2" t="s">
        <v>18</v>
      </c>
      <c r="R1344" s="5">
        <v>112.875</v>
      </c>
      <c r="S1344" s="5">
        <v>10.75</v>
      </c>
      <c r="T1344" s="5">
        <v>2</v>
      </c>
      <c r="U1344" s="2" t="str">
        <f>IF(T1344&lt;=1, "1",IF(AND(T1344&gt;1,T1344&lt;4), "2-3", "+4"))</f>
        <v>2-3</v>
      </c>
      <c r="V1344" s="5">
        <f>S1344*T1344</f>
        <v>21.5</v>
      </c>
      <c r="W1344" s="6" t="s">
        <v>2838</v>
      </c>
    </row>
    <row r="1345" spans="1:58" x14ac:dyDescent="0.15">
      <c r="A1345" s="2" t="s">
        <v>202</v>
      </c>
      <c r="B1345" s="2" t="s">
        <v>3935</v>
      </c>
      <c r="C1345" s="2" t="s">
        <v>944</v>
      </c>
      <c r="D1345" s="2" t="s">
        <v>450</v>
      </c>
      <c r="E1345" s="1"/>
      <c r="F1345" s="2" t="s">
        <v>204</v>
      </c>
      <c r="G1345" s="2">
        <v>26.85</v>
      </c>
      <c r="H1345" s="2" t="str">
        <f t="shared" si="46"/>
        <v>W</v>
      </c>
      <c r="I1345" s="5"/>
      <c r="J1345" s="5">
        <v>495.5</v>
      </c>
      <c r="K1345" s="5"/>
      <c r="L1345" s="5">
        <v>8</v>
      </c>
      <c r="M1345" s="2" t="s">
        <v>571</v>
      </c>
      <c r="N1345" s="5">
        <v>37</v>
      </c>
      <c r="O1345" s="5">
        <v>21</v>
      </c>
      <c r="P1345" s="5">
        <v>10.75</v>
      </c>
      <c r="Q1345" s="2" t="s">
        <v>18</v>
      </c>
      <c r="R1345" s="5">
        <v>86</v>
      </c>
      <c r="S1345" s="5">
        <f>(R1345/J1345)*100</f>
        <v>17.356205852674066</v>
      </c>
      <c r="V1345" s="5"/>
      <c r="W1345" s="6" t="s">
        <v>2461</v>
      </c>
    </row>
    <row r="1346" spans="1:58" x14ac:dyDescent="0.15">
      <c r="A1346" s="2" t="s">
        <v>202</v>
      </c>
      <c r="B1346" s="2" t="s">
        <v>3935</v>
      </c>
      <c r="C1346" s="2" t="s">
        <v>944</v>
      </c>
      <c r="D1346" s="2" t="s">
        <v>450</v>
      </c>
      <c r="E1346" s="1"/>
      <c r="F1346" s="2" t="s">
        <v>218</v>
      </c>
      <c r="G1346" s="2">
        <v>24</v>
      </c>
      <c r="H1346" s="2" t="str">
        <f t="shared" si="46"/>
        <v>W</v>
      </c>
      <c r="I1346" s="5">
        <v>19.04</v>
      </c>
      <c r="J1346" s="5">
        <v>831.81</v>
      </c>
      <c r="K1346" s="5"/>
      <c r="L1346" s="5">
        <v>11</v>
      </c>
      <c r="M1346" s="2" t="s">
        <v>571</v>
      </c>
      <c r="N1346" s="5">
        <v>39.630000000000003</v>
      </c>
      <c r="O1346" s="5">
        <v>20.45</v>
      </c>
      <c r="P1346" s="5">
        <v>10.75</v>
      </c>
      <c r="Q1346" s="2" t="s">
        <v>18</v>
      </c>
      <c r="R1346" s="5">
        <v>118.25</v>
      </c>
      <c r="S1346" s="5">
        <v>14.22</v>
      </c>
      <c r="T1346" s="9"/>
      <c r="U1346" s="9"/>
      <c r="V1346" s="5"/>
      <c r="W1346" s="6" t="s">
        <v>2536</v>
      </c>
    </row>
    <row r="1347" spans="1:58" x14ac:dyDescent="0.15">
      <c r="A1347" s="2" t="s">
        <v>202</v>
      </c>
      <c r="B1347" s="2" t="s">
        <v>3935</v>
      </c>
      <c r="C1347" s="2" t="s">
        <v>944</v>
      </c>
      <c r="D1347" s="2" t="s">
        <v>450</v>
      </c>
      <c r="E1347" s="1"/>
      <c r="F1347" s="2" t="s">
        <v>204</v>
      </c>
      <c r="G1347" s="2" t="s">
        <v>374</v>
      </c>
      <c r="H1347" s="2" t="str">
        <f t="shared" si="46"/>
        <v>C</v>
      </c>
      <c r="I1347" s="5"/>
      <c r="J1347" s="5"/>
      <c r="K1347" s="5">
        <v>3</v>
      </c>
      <c r="L1347" s="5">
        <v>5.81</v>
      </c>
      <c r="M1347" s="2" t="s">
        <v>571</v>
      </c>
      <c r="N1347" s="5">
        <v>47.3</v>
      </c>
      <c r="O1347" s="5">
        <v>25.5</v>
      </c>
      <c r="P1347" s="5">
        <v>17.89</v>
      </c>
      <c r="Q1347" s="2" t="s">
        <v>18</v>
      </c>
      <c r="R1347" s="5">
        <v>103.94</v>
      </c>
      <c r="S1347" s="5"/>
      <c r="V1347" s="5"/>
      <c r="W1347" s="6" t="s">
        <v>3228</v>
      </c>
    </row>
    <row r="1348" spans="1:58" x14ac:dyDescent="0.15">
      <c r="A1348" s="2" t="s">
        <v>202</v>
      </c>
      <c r="B1348" s="2" t="s">
        <v>3935</v>
      </c>
      <c r="C1348" s="2" t="s">
        <v>944</v>
      </c>
      <c r="D1348" s="2" t="s">
        <v>450</v>
      </c>
      <c r="E1348" s="1"/>
      <c r="F1348" s="2" t="s">
        <v>204</v>
      </c>
      <c r="G1348" s="2">
        <v>27</v>
      </c>
      <c r="H1348" s="2" t="str">
        <f t="shared" si="46"/>
        <v>W</v>
      </c>
      <c r="I1348" s="5"/>
      <c r="J1348" s="5"/>
      <c r="K1348" s="5"/>
      <c r="L1348" s="5">
        <v>7.75</v>
      </c>
      <c r="M1348" s="2" t="s">
        <v>571</v>
      </c>
      <c r="N1348" s="5">
        <v>42.9</v>
      </c>
      <c r="O1348" s="5">
        <v>23.2</v>
      </c>
      <c r="P1348" s="5">
        <v>13.29</v>
      </c>
      <c r="Q1348" s="2" t="s">
        <v>376</v>
      </c>
      <c r="R1348" s="5">
        <v>103</v>
      </c>
      <c r="S1348" s="5"/>
      <c r="V1348" s="5"/>
      <c r="W1348" s="6" t="s">
        <v>2840</v>
      </c>
    </row>
    <row r="1349" spans="1:58" x14ac:dyDescent="0.15">
      <c r="A1349" s="2" t="s">
        <v>202</v>
      </c>
      <c r="B1349" s="2" t="s">
        <v>3935</v>
      </c>
      <c r="C1349" s="2" t="s">
        <v>944</v>
      </c>
      <c r="D1349" s="2" t="s">
        <v>463</v>
      </c>
      <c r="E1349" s="1" t="s">
        <v>4472</v>
      </c>
      <c r="F1349" s="2" t="s">
        <v>204</v>
      </c>
      <c r="G1349" s="2">
        <v>26.9</v>
      </c>
      <c r="H1349" s="2" t="str">
        <f t="shared" si="46"/>
        <v>W</v>
      </c>
      <c r="I1349" s="5">
        <v>22.7</v>
      </c>
      <c r="J1349" s="5">
        <v>1335</v>
      </c>
      <c r="K1349" s="5"/>
      <c r="L1349" s="5">
        <v>6.5</v>
      </c>
      <c r="M1349" s="2" t="s">
        <v>571</v>
      </c>
      <c r="N1349" s="5">
        <v>47</v>
      </c>
      <c r="O1349" s="5">
        <v>27</v>
      </c>
      <c r="P1349" s="5">
        <v>19</v>
      </c>
      <c r="Q1349" s="2" t="s">
        <v>18</v>
      </c>
      <c r="R1349" s="5">
        <v>123.5</v>
      </c>
      <c r="S1349" s="5">
        <v>9.25</v>
      </c>
      <c r="V1349" s="5"/>
      <c r="W1349" s="6" t="s">
        <v>2797</v>
      </c>
    </row>
    <row r="1350" spans="1:58" x14ac:dyDescent="0.15">
      <c r="A1350" s="2" t="s">
        <v>202</v>
      </c>
      <c r="B1350" s="2" t="s">
        <v>3935</v>
      </c>
      <c r="C1350" s="2" t="s">
        <v>944</v>
      </c>
      <c r="D1350" s="2" t="s">
        <v>463</v>
      </c>
      <c r="E1350" s="1" t="s">
        <v>4472</v>
      </c>
      <c r="F1350" s="2" t="s">
        <v>204</v>
      </c>
      <c r="G1350" s="2">
        <v>27</v>
      </c>
      <c r="H1350" s="2" t="str">
        <f t="shared" si="46"/>
        <v>W</v>
      </c>
      <c r="I1350" s="5">
        <v>22.5</v>
      </c>
      <c r="J1350" s="5">
        <f>1560+R1350</f>
        <v>1686</v>
      </c>
      <c r="K1350" s="5"/>
      <c r="L1350" s="5">
        <v>6</v>
      </c>
      <c r="M1350" s="2" t="s">
        <v>571</v>
      </c>
      <c r="N1350" s="5">
        <v>49</v>
      </c>
      <c r="O1350" s="5">
        <v>27</v>
      </c>
      <c r="P1350" s="5">
        <f>126/6</f>
        <v>21</v>
      </c>
      <c r="Q1350" s="2" t="s">
        <v>18</v>
      </c>
      <c r="R1350" s="5">
        <v>126</v>
      </c>
      <c r="S1350" s="5">
        <f>0.08*100</f>
        <v>8</v>
      </c>
      <c r="V1350" s="5"/>
      <c r="W1350" s="6" t="s">
        <v>2417</v>
      </c>
    </row>
    <row r="1351" spans="1:58" x14ac:dyDescent="0.15">
      <c r="A1351" s="2" t="s">
        <v>202</v>
      </c>
      <c r="B1351" s="2" t="s">
        <v>3935</v>
      </c>
      <c r="C1351" s="2" t="s">
        <v>944</v>
      </c>
      <c r="D1351" s="2" t="s">
        <v>463</v>
      </c>
      <c r="E1351" s="1" t="s">
        <v>4472</v>
      </c>
      <c r="F1351" s="2" t="s">
        <v>204</v>
      </c>
      <c r="G1351" s="2">
        <v>26.44</v>
      </c>
      <c r="H1351" s="2" t="str">
        <f t="shared" si="46"/>
        <v>W</v>
      </c>
      <c r="I1351" s="5">
        <v>21.53</v>
      </c>
      <c r="J1351" s="5">
        <v>1463.7</v>
      </c>
      <c r="K1351" s="5"/>
      <c r="L1351" s="5">
        <v>6</v>
      </c>
      <c r="M1351" s="2" t="s">
        <v>571</v>
      </c>
      <c r="N1351" s="5">
        <v>51.03</v>
      </c>
      <c r="O1351" s="5"/>
      <c r="P1351" s="5">
        <v>20.57</v>
      </c>
      <c r="Q1351" s="2" t="s">
        <v>18</v>
      </c>
      <c r="R1351" s="5">
        <v>123.4</v>
      </c>
      <c r="S1351" s="5">
        <v>8.43</v>
      </c>
      <c r="V1351" s="5"/>
      <c r="W1351" s="6" t="s">
        <v>2841</v>
      </c>
    </row>
    <row r="1352" spans="1:58" x14ac:dyDescent="0.15">
      <c r="A1352" s="2" t="s">
        <v>202</v>
      </c>
      <c r="B1352" s="2" t="s">
        <v>3935</v>
      </c>
      <c r="C1352" s="2" t="s">
        <v>944</v>
      </c>
      <c r="D1352" s="2" t="s">
        <v>463</v>
      </c>
      <c r="E1352" s="1" t="s">
        <v>4472</v>
      </c>
      <c r="F1352" s="2" t="s">
        <v>579</v>
      </c>
      <c r="G1352" s="2">
        <v>26</v>
      </c>
      <c r="H1352" s="2" t="str">
        <f t="shared" si="46"/>
        <v>W</v>
      </c>
      <c r="I1352" s="5">
        <v>24.65</v>
      </c>
      <c r="J1352" s="5">
        <v>1500</v>
      </c>
      <c r="K1352" s="5"/>
      <c r="L1352" s="7">
        <v>5.95</v>
      </c>
      <c r="M1352" s="7" t="s">
        <v>571</v>
      </c>
      <c r="N1352" s="7">
        <v>47.55</v>
      </c>
      <c r="O1352" s="5">
        <v>27.54</v>
      </c>
      <c r="P1352" s="5">
        <v>21.4</v>
      </c>
      <c r="Q1352" s="2" t="s">
        <v>18</v>
      </c>
      <c r="R1352" s="5">
        <v>127.33</v>
      </c>
      <c r="S1352" s="5">
        <v>8.4</v>
      </c>
      <c r="T1352" s="2" t="s">
        <v>372</v>
      </c>
      <c r="U1352" s="40" t="s">
        <v>395</v>
      </c>
      <c r="V1352" s="5"/>
      <c r="W1352" s="6" t="s">
        <v>2425</v>
      </c>
    </row>
    <row r="1353" spans="1:58" x14ac:dyDescent="0.15">
      <c r="A1353" s="2" t="s">
        <v>202</v>
      </c>
      <c r="B1353" s="2" t="s">
        <v>3935</v>
      </c>
      <c r="C1353" s="2" t="s">
        <v>944</v>
      </c>
      <c r="D1353" s="2" t="s">
        <v>463</v>
      </c>
      <c r="E1353" s="1" t="s">
        <v>4471</v>
      </c>
      <c r="F1353" s="2" t="s">
        <v>218</v>
      </c>
      <c r="G1353" s="2">
        <v>24</v>
      </c>
      <c r="H1353" s="2" t="str">
        <f t="shared" si="46"/>
        <v>W</v>
      </c>
      <c r="I1353" s="5">
        <v>18.670000000000002</v>
      </c>
      <c r="J1353" s="5">
        <v>978.5</v>
      </c>
      <c r="K1353" s="5"/>
      <c r="L1353" s="5">
        <v>6</v>
      </c>
      <c r="M1353" s="2" t="s">
        <v>571</v>
      </c>
      <c r="N1353" s="5">
        <v>39.32</v>
      </c>
      <c r="O1353" s="5">
        <v>28.31</v>
      </c>
      <c r="P1353" s="5">
        <v>11.48</v>
      </c>
      <c r="Q1353" s="2" t="s">
        <v>18</v>
      </c>
      <c r="R1353" s="5">
        <v>68.88</v>
      </c>
      <c r="S1353" s="5">
        <v>7.04</v>
      </c>
      <c r="T1353" s="9"/>
      <c r="U1353" s="9"/>
      <c r="V1353" s="5"/>
      <c r="W1353" s="6" t="s">
        <v>2536</v>
      </c>
    </row>
    <row r="1354" spans="1:58" x14ac:dyDescent="0.15">
      <c r="A1354" s="2" t="s">
        <v>202</v>
      </c>
      <c r="B1354" s="2" t="s">
        <v>3935</v>
      </c>
      <c r="C1354" s="2" t="s">
        <v>944</v>
      </c>
      <c r="D1354" s="2" t="s">
        <v>463</v>
      </c>
      <c r="E1354" s="1" t="s">
        <v>945</v>
      </c>
      <c r="F1354" s="2" t="s">
        <v>585</v>
      </c>
      <c r="G1354" s="2">
        <v>20.54</v>
      </c>
      <c r="H1354" s="2" t="str">
        <f t="shared" si="46"/>
        <v>W</v>
      </c>
      <c r="I1354" s="5"/>
      <c r="J1354" s="5"/>
      <c r="K1354" s="5"/>
      <c r="L1354" s="7">
        <v>5</v>
      </c>
      <c r="M1354" s="7" t="s">
        <v>571</v>
      </c>
      <c r="N1354" s="7">
        <v>45.54</v>
      </c>
      <c r="O1354" s="5">
        <v>26.93</v>
      </c>
      <c r="P1354" s="5">
        <v>20.059999999999999</v>
      </c>
      <c r="Q1354" s="2" t="s">
        <v>18</v>
      </c>
      <c r="R1354" s="5">
        <v>100.31</v>
      </c>
      <c r="S1354" s="5"/>
      <c r="V1354" s="5"/>
      <c r="W1354" s="6" t="s">
        <v>2842</v>
      </c>
    </row>
    <row r="1355" spans="1:58" x14ac:dyDescent="0.15">
      <c r="A1355" s="2" t="s">
        <v>202</v>
      </c>
      <c r="B1355" s="2" t="s">
        <v>3935</v>
      </c>
      <c r="C1355" s="2" t="s">
        <v>944</v>
      </c>
      <c r="D1355" s="2" t="s">
        <v>463</v>
      </c>
      <c r="E1355" s="1" t="s">
        <v>945</v>
      </c>
      <c r="F1355" s="2" t="s">
        <v>464</v>
      </c>
      <c r="G1355" s="2">
        <v>26.76</v>
      </c>
      <c r="H1355" s="2" t="str">
        <f t="shared" si="46"/>
        <v>W</v>
      </c>
      <c r="I1355" s="5"/>
      <c r="J1355" s="5"/>
      <c r="K1355" s="5"/>
      <c r="L1355" s="5">
        <v>6</v>
      </c>
      <c r="M1355" s="5" t="s">
        <v>571</v>
      </c>
      <c r="N1355" s="5">
        <v>43.65</v>
      </c>
      <c r="O1355" s="5">
        <v>26.9</v>
      </c>
      <c r="P1355" s="5">
        <v>14.27</v>
      </c>
      <c r="Q1355" s="2" t="s">
        <v>18</v>
      </c>
      <c r="R1355" s="5">
        <v>85.6</v>
      </c>
      <c r="S1355" s="5"/>
      <c r="T1355" s="5"/>
      <c r="U1355" s="5"/>
      <c r="V1355" s="5"/>
      <c r="W1355" s="6" t="s">
        <v>2661</v>
      </c>
    </row>
    <row r="1356" spans="1:58" x14ac:dyDescent="0.15">
      <c r="A1356" s="2" t="s">
        <v>202</v>
      </c>
      <c r="B1356" s="2" t="s">
        <v>3934</v>
      </c>
      <c r="C1356" s="2" t="s">
        <v>956</v>
      </c>
      <c r="D1356" s="2" t="s">
        <v>762</v>
      </c>
      <c r="E1356" s="1"/>
      <c r="F1356" s="2" t="s">
        <v>73</v>
      </c>
      <c r="H1356" s="2" t="s">
        <v>3887</v>
      </c>
      <c r="I1356" s="5"/>
      <c r="J1356" s="5"/>
      <c r="K1356" s="5"/>
      <c r="L1356" s="7">
        <f>MEDIAN(1,2)</f>
        <v>1.5</v>
      </c>
      <c r="M1356" s="7" t="s">
        <v>571</v>
      </c>
      <c r="N1356" s="7">
        <v>70</v>
      </c>
      <c r="O1356" s="5">
        <v>37</v>
      </c>
      <c r="P1356" s="5">
        <f xml:space="preserve"> (0.569*N1356) + (0.478*O1356) - 8.953</f>
        <v>48.563000000000002</v>
      </c>
      <c r="Q1356" s="2" t="s">
        <v>376</v>
      </c>
      <c r="R1356" s="5">
        <f>P1356*L1356</f>
        <v>72.844500000000011</v>
      </c>
      <c r="S1356" s="5"/>
      <c r="V1356" s="5"/>
      <c r="W1356" s="6" t="s">
        <v>3648</v>
      </c>
    </row>
    <row r="1357" spans="1:58" x14ac:dyDescent="0.15">
      <c r="A1357" s="2" t="s">
        <v>202</v>
      </c>
      <c r="B1357" s="2" t="s">
        <v>3934</v>
      </c>
      <c r="C1357" s="2" t="s">
        <v>956</v>
      </c>
      <c r="D1357" s="2" t="s">
        <v>762</v>
      </c>
      <c r="E1357" s="1"/>
      <c r="F1357" s="2" t="s">
        <v>967</v>
      </c>
      <c r="H1357" s="2" t="s">
        <v>3887</v>
      </c>
      <c r="I1357" s="5"/>
      <c r="J1357" s="5"/>
      <c r="K1357" s="5"/>
      <c r="L1357" s="7">
        <v>1.5</v>
      </c>
      <c r="M1357" s="2" t="s">
        <v>571</v>
      </c>
      <c r="N1357" s="5">
        <v>71</v>
      </c>
      <c r="O1357" s="5">
        <v>37</v>
      </c>
      <c r="P1357" s="5">
        <f xml:space="preserve"> (0.569*N1357) + (0.478*O1357) - 8.953</f>
        <v>49.131999999999991</v>
      </c>
      <c r="Q1357" s="2" t="s">
        <v>376</v>
      </c>
      <c r="R1357" s="5">
        <f>P1357*L1357</f>
        <v>73.697999999999979</v>
      </c>
      <c r="S1357" s="5"/>
      <c r="T1357" s="9"/>
      <c r="U1357" s="9"/>
      <c r="V1357" s="5"/>
      <c r="W1357" s="6" t="s">
        <v>4043</v>
      </c>
    </row>
    <row r="1358" spans="1:58" ht="12.75" customHeight="1" x14ac:dyDescent="0.15">
      <c r="A1358" s="2" t="s">
        <v>202</v>
      </c>
      <c r="B1358" s="2" t="s">
        <v>3934</v>
      </c>
      <c r="C1358" s="2" t="s">
        <v>956</v>
      </c>
      <c r="D1358" s="2" t="s">
        <v>762</v>
      </c>
      <c r="E1358" s="1"/>
      <c r="F1358" s="2" t="s">
        <v>219</v>
      </c>
      <c r="G1358" s="2">
        <v>8</v>
      </c>
      <c r="H1358" s="2" t="str">
        <f t="shared" si="46"/>
        <v>W</v>
      </c>
      <c r="I1358" s="5">
        <v>17.43</v>
      </c>
      <c r="J1358" s="5">
        <f xml:space="preserve"> 5.7504*I1358^1.701</f>
        <v>743.26710222518898</v>
      </c>
      <c r="K1358" s="5"/>
      <c r="L1358" s="5"/>
      <c r="M1358" s="2" t="s">
        <v>571</v>
      </c>
      <c r="N1358" s="5"/>
      <c r="O1358" s="5"/>
      <c r="P1358" s="5"/>
      <c r="R1358" s="5"/>
      <c r="S1358" s="5"/>
      <c r="T1358" s="9"/>
      <c r="U1358" s="9"/>
      <c r="V1358" s="5"/>
      <c r="W1358" s="6" t="s">
        <v>2333</v>
      </c>
    </row>
    <row r="1359" spans="1:58" s="32" customFormat="1" x14ac:dyDescent="0.15">
      <c r="A1359" s="2" t="s">
        <v>202</v>
      </c>
      <c r="B1359" s="2" t="s">
        <v>3934</v>
      </c>
      <c r="C1359" s="2" t="s">
        <v>956</v>
      </c>
      <c r="D1359" s="2" t="s">
        <v>762</v>
      </c>
      <c r="E1359" s="1"/>
      <c r="F1359" s="2" t="s">
        <v>200</v>
      </c>
      <c r="G1359" s="2">
        <v>9</v>
      </c>
      <c r="H1359" s="2" t="str">
        <f t="shared" si="46"/>
        <v>W</v>
      </c>
      <c r="I1359" s="5">
        <v>17.73</v>
      </c>
      <c r="J1359" s="5">
        <v>770</v>
      </c>
      <c r="K1359" s="5"/>
      <c r="L1359" s="5"/>
      <c r="M1359" s="2" t="s">
        <v>571</v>
      </c>
      <c r="N1359" s="5"/>
      <c r="O1359" s="5"/>
      <c r="P1359" s="5"/>
      <c r="Q1359" s="2"/>
      <c r="R1359" s="5"/>
      <c r="S1359" s="5"/>
      <c r="T1359" s="2"/>
      <c r="U1359" s="2"/>
      <c r="V1359" s="5"/>
      <c r="W1359" s="6" t="s">
        <v>2849</v>
      </c>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row>
    <row r="1360" spans="1:58" ht="12.75" customHeight="1" x14ac:dyDescent="0.15">
      <c r="A1360" s="2" t="s">
        <v>202</v>
      </c>
      <c r="B1360" s="2" t="s">
        <v>3934</v>
      </c>
      <c r="C1360" s="2" t="s">
        <v>956</v>
      </c>
      <c r="D1360" s="2" t="s">
        <v>762</v>
      </c>
      <c r="E1360" s="1"/>
      <c r="F1360" s="2" t="s">
        <v>967</v>
      </c>
      <c r="H1360" s="2" t="s">
        <v>3887</v>
      </c>
      <c r="I1360" s="5"/>
      <c r="J1360" s="5"/>
      <c r="K1360" s="5"/>
      <c r="L1360" s="7">
        <f>MEDIAN(1,2)</f>
        <v>1.5</v>
      </c>
      <c r="M1360" s="7" t="s">
        <v>571</v>
      </c>
      <c r="N1360" s="5">
        <v>71</v>
      </c>
      <c r="O1360" s="5">
        <v>37</v>
      </c>
      <c r="P1360" s="5">
        <f xml:space="preserve"> 0.569*N1360 + 0.478*O1360 - 8.953</f>
        <v>49.131999999999991</v>
      </c>
      <c r="Q1360" s="2" t="s">
        <v>376</v>
      </c>
      <c r="R1360" s="5">
        <f>P1360*L1360</f>
        <v>73.697999999999979</v>
      </c>
      <c r="S1360" s="5"/>
      <c r="V1360" s="5"/>
      <c r="W1360" s="6" t="s">
        <v>2165</v>
      </c>
    </row>
    <row r="1361" spans="1:24" ht="15" customHeight="1" x14ac:dyDescent="0.15">
      <c r="A1361" s="2" t="s">
        <v>202</v>
      </c>
      <c r="B1361" s="2" t="s">
        <v>3934</v>
      </c>
      <c r="C1361" s="2" t="s">
        <v>956</v>
      </c>
      <c r="D1361" s="2" t="s">
        <v>586</v>
      </c>
      <c r="E1361" s="1"/>
      <c r="F1361" s="2" t="s">
        <v>374</v>
      </c>
      <c r="G1361" s="2" t="s">
        <v>374</v>
      </c>
      <c r="H1361" s="2" t="str">
        <f t="shared" si="46"/>
        <v>C</v>
      </c>
      <c r="I1361" s="5">
        <v>17.8</v>
      </c>
      <c r="J1361" s="5">
        <v>930</v>
      </c>
      <c r="K1361" s="5"/>
      <c r="L1361" s="5">
        <v>1</v>
      </c>
      <c r="M1361" s="2" t="s">
        <v>571</v>
      </c>
      <c r="N1361" s="5"/>
      <c r="O1361" s="5"/>
      <c r="P1361" s="5"/>
      <c r="R1361" s="5"/>
      <c r="S1361" s="5"/>
      <c r="T1361" s="5" t="s">
        <v>893</v>
      </c>
      <c r="U1361" s="40" t="s">
        <v>4047</v>
      </c>
      <c r="V1361" s="5"/>
      <c r="W1361" s="6" t="s">
        <v>2528</v>
      </c>
    </row>
    <row r="1362" spans="1:24" ht="12.75" customHeight="1" x14ac:dyDescent="0.15">
      <c r="A1362" s="2" t="s">
        <v>202</v>
      </c>
      <c r="B1362" s="2" t="s">
        <v>3934</v>
      </c>
      <c r="C1362" s="2" t="s">
        <v>956</v>
      </c>
      <c r="D1362" s="2" t="s">
        <v>586</v>
      </c>
      <c r="E1362" s="1"/>
      <c r="F1362" s="2" t="s">
        <v>374</v>
      </c>
      <c r="G1362" s="2" t="s">
        <v>374</v>
      </c>
      <c r="H1362" s="2" t="str">
        <f t="shared" si="46"/>
        <v>C</v>
      </c>
      <c r="I1362" s="5"/>
      <c r="J1362" s="5"/>
      <c r="K1362" s="5"/>
      <c r="L1362" s="5">
        <v>1</v>
      </c>
      <c r="M1362" s="2" t="s">
        <v>571</v>
      </c>
      <c r="N1362" s="5">
        <v>61.4</v>
      </c>
      <c r="O1362" s="5">
        <v>30.3</v>
      </c>
      <c r="P1362" s="5">
        <v>35</v>
      </c>
      <c r="Q1362" s="2" t="s">
        <v>18</v>
      </c>
      <c r="R1362" s="5">
        <v>35</v>
      </c>
      <c r="S1362" s="5"/>
      <c r="V1362" s="5"/>
      <c r="W1362" s="6" t="s">
        <v>2826</v>
      </c>
    </row>
    <row r="1363" spans="1:24" ht="15" customHeight="1" x14ac:dyDescent="0.15">
      <c r="A1363" s="2" t="s">
        <v>202</v>
      </c>
      <c r="B1363" s="2" t="s">
        <v>3934</v>
      </c>
      <c r="C1363" s="2" t="s">
        <v>956</v>
      </c>
      <c r="D1363" s="2" t="s">
        <v>586</v>
      </c>
      <c r="E1363" s="1"/>
      <c r="F1363" s="2" t="s">
        <v>374</v>
      </c>
      <c r="G1363" s="2" t="s">
        <v>374</v>
      </c>
      <c r="H1363" s="2" t="str">
        <f t="shared" si="46"/>
        <v>C</v>
      </c>
      <c r="I1363" s="5">
        <v>16.66</v>
      </c>
      <c r="J1363" s="5">
        <v>731.5</v>
      </c>
      <c r="K1363" s="5"/>
      <c r="L1363" s="5">
        <v>1</v>
      </c>
      <c r="M1363" s="2" t="s">
        <v>571</v>
      </c>
      <c r="N1363" s="5">
        <v>59.72</v>
      </c>
      <c r="O1363" s="5">
        <v>29.96</v>
      </c>
      <c r="P1363" s="5">
        <v>33.58</v>
      </c>
      <c r="Q1363" s="2" t="s">
        <v>18</v>
      </c>
      <c r="R1363" s="5">
        <v>33.58</v>
      </c>
      <c r="S1363" s="5">
        <f>(R1363/J1363)*100</f>
        <v>4.5905673274094321</v>
      </c>
      <c r="V1363" s="5"/>
      <c r="W1363" s="6" t="s">
        <v>1835</v>
      </c>
    </row>
    <row r="1364" spans="1:24" ht="12.75" customHeight="1" x14ac:dyDescent="0.15">
      <c r="A1364" s="2" t="s">
        <v>202</v>
      </c>
      <c r="B1364" s="2" t="s">
        <v>3934</v>
      </c>
      <c r="C1364" s="2" t="s">
        <v>956</v>
      </c>
      <c r="D1364" s="2" t="s">
        <v>586</v>
      </c>
      <c r="E1364" s="1"/>
      <c r="F1364" s="2" t="s">
        <v>374</v>
      </c>
      <c r="G1364" s="2" t="s">
        <v>374</v>
      </c>
      <c r="H1364" s="2" t="str">
        <f t="shared" si="46"/>
        <v>C</v>
      </c>
      <c r="I1364" s="5"/>
      <c r="J1364" s="5"/>
      <c r="K1364" s="7">
        <f>MEDIAN(9,10)</f>
        <v>9.5</v>
      </c>
      <c r="L1364" s="7">
        <v>1</v>
      </c>
      <c r="M1364" s="7" t="s">
        <v>571</v>
      </c>
      <c r="N1364" s="7">
        <v>59</v>
      </c>
      <c r="O1364" s="5">
        <v>32.9</v>
      </c>
      <c r="P1364" s="5">
        <v>38.799999999999997</v>
      </c>
      <c r="Q1364" s="2" t="s">
        <v>18</v>
      </c>
      <c r="R1364" s="5">
        <v>38.799999999999997</v>
      </c>
      <c r="S1364" s="5"/>
      <c r="T1364" s="2" t="s">
        <v>3610</v>
      </c>
      <c r="U1364" s="40" t="s">
        <v>4047</v>
      </c>
      <c r="V1364" s="5"/>
      <c r="W1364" s="6" t="s">
        <v>2213</v>
      </c>
    </row>
    <row r="1365" spans="1:24" x14ac:dyDescent="0.15">
      <c r="A1365" s="2" t="s">
        <v>202</v>
      </c>
      <c r="B1365" s="2" t="s">
        <v>3934</v>
      </c>
      <c r="C1365" s="2" t="s">
        <v>956</v>
      </c>
      <c r="D1365" s="2" t="s">
        <v>586</v>
      </c>
      <c r="E1365" s="1"/>
      <c r="F1365" s="2" t="s">
        <v>2273</v>
      </c>
      <c r="G1365" s="2">
        <v>20.420000000000002</v>
      </c>
      <c r="H1365" s="2" t="str">
        <f t="shared" si="46"/>
        <v>W</v>
      </c>
      <c r="I1365" s="5">
        <v>17.3</v>
      </c>
      <c r="J1365" s="5">
        <v>643</v>
      </c>
      <c r="K1365" s="5"/>
      <c r="L1365" s="5"/>
      <c r="M1365" s="2" t="s">
        <v>571</v>
      </c>
      <c r="N1365" s="5"/>
      <c r="O1365" s="5"/>
      <c r="P1365" s="5"/>
      <c r="R1365" s="5"/>
      <c r="S1365" s="5"/>
      <c r="T1365" s="9"/>
      <c r="U1365" s="9"/>
      <c r="V1365" s="5"/>
      <c r="W1365" s="6" t="s">
        <v>2213</v>
      </c>
    </row>
    <row r="1366" spans="1:24" x14ac:dyDescent="0.15">
      <c r="A1366" s="1" t="s">
        <v>202</v>
      </c>
      <c r="B1366" s="1" t="s">
        <v>3934</v>
      </c>
      <c r="C1366" s="1" t="s">
        <v>956</v>
      </c>
      <c r="D1366" s="1" t="s">
        <v>586</v>
      </c>
      <c r="E1366" s="1"/>
      <c r="F1366" s="1" t="s">
        <v>379</v>
      </c>
      <c r="G1366" s="1" t="s">
        <v>374</v>
      </c>
      <c r="H1366" s="1" t="str">
        <f t="shared" si="46"/>
        <v>C</v>
      </c>
      <c r="I1366" s="8">
        <v>18.5</v>
      </c>
      <c r="J1366" s="8">
        <v>867</v>
      </c>
      <c r="K1366" s="8">
        <v>4.75</v>
      </c>
      <c r="L1366" s="8">
        <v>1.4790000000000001</v>
      </c>
      <c r="M1366" s="8" t="s">
        <v>571</v>
      </c>
      <c r="N1366" s="8">
        <v>49.08</v>
      </c>
      <c r="O1366" s="8">
        <v>29.74</v>
      </c>
      <c r="P1366" s="8">
        <v>27.44</v>
      </c>
      <c r="Q1366" s="1" t="s">
        <v>18</v>
      </c>
      <c r="R1366" s="8">
        <v>40.58</v>
      </c>
      <c r="S1366" s="8">
        <v>3</v>
      </c>
      <c r="T1366" s="1" t="s">
        <v>372</v>
      </c>
      <c r="U1366" s="40" t="s">
        <v>395</v>
      </c>
      <c r="V1366" s="8"/>
      <c r="W1366" s="3" t="s">
        <v>4007</v>
      </c>
      <c r="X1366" s="1"/>
    </row>
    <row r="1367" spans="1:24" x14ac:dyDescent="0.15">
      <c r="A1367" s="2" t="s">
        <v>202</v>
      </c>
      <c r="B1367" s="2" t="s">
        <v>3934</v>
      </c>
      <c r="C1367" s="2" t="s">
        <v>956</v>
      </c>
      <c r="D1367" s="2" t="s">
        <v>763</v>
      </c>
      <c r="E1367" s="1"/>
      <c r="F1367" s="2" t="s">
        <v>58</v>
      </c>
      <c r="G1367" s="2" t="s">
        <v>374</v>
      </c>
      <c r="H1367" s="2" t="str">
        <f t="shared" si="46"/>
        <v>C</v>
      </c>
      <c r="I1367" s="5">
        <v>19.329999999999998</v>
      </c>
      <c r="J1367" s="5">
        <v>1137</v>
      </c>
      <c r="K1367" s="5"/>
      <c r="L1367" s="5">
        <v>1.83</v>
      </c>
      <c r="M1367" s="2" t="s">
        <v>571</v>
      </c>
      <c r="N1367" s="5">
        <v>50.67</v>
      </c>
      <c r="O1367" s="5">
        <v>29.33</v>
      </c>
      <c r="P1367" s="5">
        <v>27.27</v>
      </c>
      <c r="Q1367" s="2" t="s">
        <v>376</v>
      </c>
      <c r="R1367" s="5">
        <v>49.99</v>
      </c>
      <c r="S1367" s="5">
        <v>4.4000000000000004</v>
      </c>
      <c r="T1367" s="2" t="s">
        <v>399</v>
      </c>
      <c r="V1367" s="5"/>
      <c r="W1367" s="6" t="s">
        <v>2851</v>
      </c>
    </row>
    <row r="1368" spans="1:24" x14ac:dyDescent="0.15">
      <c r="A1368" s="2" t="s">
        <v>202</v>
      </c>
      <c r="B1368" s="2" t="s">
        <v>3934</v>
      </c>
      <c r="C1368" s="2" t="s">
        <v>956</v>
      </c>
      <c r="D1368" s="2" t="s">
        <v>763</v>
      </c>
      <c r="E1368" s="1"/>
      <c r="F1368" s="2" t="s">
        <v>219</v>
      </c>
      <c r="G1368" s="2">
        <v>5.32</v>
      </c>
      <c r="H1368" s="2" t="str">
        <f t="shared" si="46"/>
        <v>W</v>
      </c>
      <c r="I1368" s="5"/>
      <c r="J1368" s="5"/>
      <c r="K1368" s="5"/>
      <c r="L1368" s="5">
        <v>2</v>
      </c>
      <c r="M1368" s="2" t="s">
        <v>571</v>
      </c>
      <c r="N1368" s="5">
        <v>55</v>
      </c>
      <c r="O1368" s="5">
        <v>34</v>
      </c>
      <c r="P1368" s="5">
        <f xml:space="preserve"> 1.285*N1368 + 1.86*O1368 - 92.395</f>
        <v>41.519999999999996</v>
      </c>
      <c r="Q1368" s="2" t="s">
        <v>376</v>
      </c>
      <c r="R1368" s="5">
        <v>83.04</v>
      </c>
      <c r="S1368" s="5"/>
      <c r="T1368" s="2" t="s">
        <v>372</v>
      </c>
      <c r="U1368" s="40" t="s">
        <v>395</v>
      </c>
      <c r="V1368" s="5"/>
      <c r="W1368" s="6" t="s">
        <v>2852</v>
      </c>
    </row>
    <row r="1369" spans="1:24" ht="12.75" customHeight="1" x14ac:dyDescent="0.15">
      <c r="A1369" s="2" t="s">
        <v>202</v>
      </c>
      <c r="B1369" s="2" t="s">
        <v>3934</v>
      </c>
      <c r="C1369" s="2" t="s">
        <v>956</v>
      </c>
      <c r="D1369" s="2" t="s">
        <v>763</v>
      </c>
      <c r="E1369" s="1"/>
      <c r="F1369" s="2" t="s">
        <v>58</v>
      </c>
      <c r="G1369" s="2">
        <v>10</v>
      </c>
      <c r="H1369" s="2" t="str">
        <f t="shared" si="46"/>
        <v>W</v>
      </c>
      <c r="I1369" s="5">
        <v>20.3</v>
      </c>
      <c r="J1369" s="5">
        <f xml:space="preserve"> 0.0002*(I1369*10)^2.94</f>
        <v>1216.3774130768759</v>
      </c>
      <c r="K1369" s="5"/>
      <c r="L1369" s="5">
        <v>2</v>
      </c>
      <c r="M1369" s="2" t="s">
        <v>571</v>
      </c>
      <c r="N1369" s="5">
        <v>56</v>
      </c>
      <c r="O1369" s="5">
        <v>31</v>
      </c>
      <c r="P1369" s="5">
        <v>33.5</v>
      </c>
      <c r="Q1369" s="2" t="s">
        <v>18</v>
      </c>
      <c r="R1369" s="5">
        <v>66.97</v>
      </c>
      <c r="S1369" s="5">
        <f>(R1369/J1369)*100</f>
        <v>5.5056924997149261</v>
      </c>
      <c r="T1369" s="2" t="s">
        <v>122</v>
      </c>
      <c r="V1369" s="5"/>
      <c r="W1369" s="6" t="s">
        <v>1886</v>
      </c>
    </row>
    <row r="1370" spans="1:24" x14ac:dyDescent="0.15">
      <c r="A1370" s="2" t="s">
        <v>202</v>
      </c>
      <c r="B1370" s="2" t="s">
        <v>3934</v>
      </c>
      <c r="C1370" s="2" t="s">
        <v>956</v>
      </c>
      <c r="D1370" s="2" t="s">
        <v>763</v>
      </c>
      <c r="E1370" s="1"/>
      <c r="F1370" s="2" t="s">
        <v>58</v>
      </c>
      <c r="H1370" s="2" t="s">
        <v>3887</v>
      </c>
      <c r="I1370" s="5">
        <v>25</v>
      </c>
      <c r="J1370" s="5">
        <f xml:space="preserve"> 0.0002*(I1370*10)^2.94</f>
        <v>2243.7456356012572</v>
      </c>
      <c r="K1370" s="5"/>
      <c r="L1370" s="5">
        <f>MEDIAN(1,3)</f>
        <v>2</v>
      </c>
      <c r="M1370" s="7" t="s">
        <v>571</v>
      </c>
      <c r="N1370" s="5">
        <v>56</v>
      </c>
      <c r="O1370" s="5">
        <v>31</v>
      </c>
      <c r="P1370" s="5">
        <v>33.07</v>
      </c>
      <c r="Q1370" s="2" t="s">
        <v>376</v>
      </c>
      <c r="R1370" s="5">
        <f>P1370*L1370</f>
        <v>66.14</v>
      </c>
      <c r="S1370" s="5">
        <f>(R1370/J1370)*100</f>
        <v>2.9477494663639288</v>
      </c>
      <c r="T1370" s="2">
        <v>6</v>
      </c>
      <c r="U1370" s="2" t="str">
        <f>IF(T1370&lt;=1, "1",IF(AND(T1370&gt;1,T1370&lt;4), "2-3", "+4"))</f>
        <v>+4</v>
      </c>
      <c r="V1370" s="5">
        <f>S1370*T1370</f>
        <v>17.686496798183573</v>
      </c>
      <c r="W1370" s="6" t="s">
        <v>2165</v>
      </c>
    </row>
    <row r="1371" spans="1:24" x14ac:dyDescent="0.15">
      <c r="A1371" s="2" t="s">
        <v>202</v>
      </c>
      <c r="B1371" s="2" t="s">
        <v>3934</v>
      </c>
      <c r="C1371" s="2" t="s">
        <v>956</v>
      </c>
      <c r="D1371" s="2" t="s">
        <v>432</v>
      </c>
      <c r="E1371" s="1"/>
      <c r="F1371" s="2" t="s">
        <v>73</v>
      </c>
      <c r="G1371" s="2">
        <v>10</v>
      </c>
      <c r="H1371" s="2" t="str">
        <f t="shared" si="46"/>
        <v>W</v>
      </c>
      <c r="I1371" s="5">
        <v>27.76</v>
      </c>
      <c r="J1371" s="5">
        <f xml:space="preserve"> 0.0002*(I1371*10)^2.94</f>
        <v>3052.6935797504166</v>
      </c>
      <c r="K1371" s="5"/>
      <c r="L1371" s="5"/>
      <c r="M1371" s="2" t="s">
        <v>571</v>
      </c>
      <c r="N1371" s="5"/>
      <c r="O1371" s="5"/>
      <c r="P1371" s="5"/>
      <c r="R1371" s="5"/>
      <c r="S1371" s="5"/>
      <c r="V1371" s="5"/>
      <c r="W1371" s="6" t="s">
        <v>2853</v>
      </c>
    </row>
    <row r="1372" spans="1:24" x14ac:dyDescent="0.15">
      <c r="A1372" s="2" t="s">
        <v>202</v>
      </c>
      <c r="B1372" s="2" t="s">
        <v>3934</v>
      </c>
      <c r="C1372" s="2" t="s">
        <v>956</v>
      </c>
      <c r="D1372" s="2" t="s">
        <v>432</v>
      </c>
      <c r="E1372" s="1"/>
      <c r="F1372" s="2" t="s">
        <v>73</v>
      </c>
      <c r="H1372" s="2" t="s">
        <v>3887</v>
      </c>
      <c r="I1372" s="5"/>
      <c r="J1372" s="5"/>
      <c r="K1372" s="5"/>
      <c r="L1372" s="7">
        <v>3</v>
      </c>
      <c r="M1372" s="7" t="s">
        <v>571</v>
      </c>
      <c r="N1372" s="7">
        <v>68</v>
      </c>
      <c r="O1372" s="5">
        <v>35</v>
      </c>
      <c r="P1372" s="5">
        <f xml:space="preserve"> (0.204*N1372) + (3.598*O1372) - 87.808</f>
        <v>51.993999999999986</v>
      </c>
      <c r="Q1372" s="2" t="s">
        <v>376</v>
      </c>
      <c r="R1372" s="5">
        <f>P1372*L1372</f>
        <v>155.98199999999997</v>
      </c>
      <c r="S1372" s="5"/>
      <c r="V1372" s="5"/>
      <c r="W1372" s="6" t="s">
        <v>428</v>
      </c>
    </row>
    <row r="1373" spans="1:24" x14ac:dyDescent="0.15">
      <c r="A1373" s="2" t="s">
        <v>202</v>
      </c>
      <c r="B1373" s="2" t="s">
        <v>3934</v>
      </c>
      <c r="C1373" s="2" t="s">
        <v>956</v>
      </c>
      <c r="D1373" s="2" t="s">
        <v>432</v>
      </c>
      <c r="E1373" s="1"/>
      <c r="F1373" s="2" t="s">
        <v>73</v>
      </c>
      <c r="G1373" s="2" t="s">
        <v>374</v>
      </c>
      <c r="H1373" s="2" t="str">
        <f t="shared" si="46"/>
        <v>C</v>
      </c>
      <c r="I1373" s="5">
        <v>26</v>
      </c>
      <c r="J1373" s="5">
        <f xml:space="preserve"> 0.0002*(I1373*10)^2.94</f>
        <v>2517.9763036292802</v>
      </c>
      <c r="K1373" s="5"/>
      <c r="L1373" s="5">
        <v>3</v>
      </c>
      <c r="M1373" s="2" t="s">
        <v>571</v>
      </c>
      <c r="N1373" s="5">
        <v>68</v>
      </c>
      <c r="O1373" s="5">
        <v>35</v>
      </c>
      <c r="P1373" s="5">
        <f xml:space="preserve"> (0.204*N1373) + (3.598*O1373) - 87.808</f>
        <v>51.993999999999986</v>
      </c>
      <c r="Q1373" s="2" t="s">
        <v>376</v>
      </c>
      <c r="R1373" s="5">
        <f>P1373*L1373</f>
        <v>155.98199999999997</v>
      </c>
      <c r="S1373" s="5">
        <f>(R1373/J1373)*100</f>
        <v>6.1947366134929718</v>
      </c>
      <c r="T1373" s="9">
        <f>MEDIAN(2,3)</f>
        <v>2.5</v>
      </c>
      <c r="U1373" s="2" t="str">
        <f>IF(T1373&lt;=1, "1",IF(AND(T1373&gt;1,T1373&lt;4), "2-3", "+4"))</f>
        <v>2-3</v>
      </c>
      <c r="V1373" s="5">
        <f>S1373*T1373</f>
        <v>15.486841533732429</v>
      </c>
      <c r="W1373" s="6" t="s">
        <v>3855</v>
      </c>
    </row>
    <row r="1374" spans="1:24" x14ac:dyDescent="0.15">
      <c r="A1374" s="2" t="s">
        <v>202</v>
      </c>
      <c r="B1374" s="2" t="s">
        <v>3934</v>
      </c>
      <c r="C1374" s="2" t="s">
        <v>956</v>
      </c>
      <c r="D1374" s="2" t="s">
        <v>432</v>
      </c>
      <c r="E1374" s="1"/>
      <c r="F1374" s="2" t="s">
        <v>374</v>
      </c>
      <c r="G1374" s="2" t="s">
        <v>374</v>
      </c>
      <c r="H1374" s="2" t="str">
        <f t="shared" si="46"/>
        <v>C</v>
      </c>
      <c r="I1374" s="5">
        <v>26</v>
      </c>
      <c r="J1374" s="5">
        <v>3000</v>
      </c>
      <c r="K1374" s="5"/>
      <c r="L1374" s="5">
        <v>7</v>
      </c>
      <c r="M1374" s="2" t="s">
        <v>571</v>
      </c>
      <c r="N1374" s="5">
        <v>54</v>
      </c>
      <c r="O1374" s="5">
        <v>33</v>
      </c>
      <c r="P1374" s="5">
        <v>36</v>
      </c>
      <c r="Q1374" s="2" t="s">
        <v>18</v>
      </c>
      <c r="R1374" s="5">
        <v>252</v>
      </c>
      <c r="S1374" s="5">
        <v>8.4</v>
      </c>
      <c r="V1374" s="5"/>
      <c r="W1374" s="6" t="s">
        <v>2854</v>
      </c>
    </row>
    <row r="1375" spans="1:24" x14ac:dyDescent="0.15">
      <c r="A1375" s="2" t="s">
        <v>202</v>
      </c>
      <c r="B1375" s="2" t="s">
        <v>3934</v>
      </c>
      <c r="C1375" s="2" t="s">
        <v>956</v>
      </c>
      <c r="D1375" s="2" t="s">
        <v>432</v>
      </c>
      <c r="E1375" s="1"/>
      <c r="F1375" s="2" t="s">
        <v>73</v>
      </c>
      <c r="G1375" s="2" t="s">
        <v>374</v>
      </c>
      <c r="H1375" s="2" t="str">
        <f t="shared" si="46"/>
        <v>C</v>
      </c>
      <c r="I1375" s="5"/>
      <c r="J1375" s="5"/>
      <c r="K1375" s="5"/>
      <c r="L1375" s="5">
        <v>4.3</v>
      </c>
      <c r="M1375" s="2" t="s">
        <v>571</v>
      </c>
      <c r="N1375" s="5">
        <v>64.2</v>
      </c>
      <c r="O1375" s="5">
        <v>34.9</v>
      </c>
      <c r="P1375" s="5">
        <v>49.6</v>
      </c>
      <c r="Q1375" s="2" t="s">
        <v>18</v>
      </c>
      <c r="R1375" s="5">
        <v>213.28</v>
      </c>
      <c r="S1375" s="5"/>
      <c r="T1375" s="9"/>
      <c r="U1375" s="9"/>
      <c r="V1375" s="5"/>
      <c r="W1375" s="6" t="s">
        <v>2855</v>
      </c>
    </row>
    <row r="1376" spans="1:24" x14ac:dyDescent="0.15">
      <c r="A1376" s="2" t="s">
        <v>202</v>
      </c>
      <c r="B1376" s="2" t="s">
        <v>3934</v>
      </c>
      <c r="C1376" s="2" t="s">
        <v>956</v>
      </c>
      <c r="D1376" s="2" t="s">
        <v>432</v>
      </c>
      <c r="E1376" s="1"/>
      <c r="F1376" s="2" t="s">
        <v>374</v>
      </c>
      <c r="G1376" s="2" t="s">
        <v>374</v>
      </c>
      <c r="H1376" s="2" t="str">
        <f t="shared" si="46"/>
        <v>C</v>
      </c>
      <c r="I1376" s="5">
        <v>28.28</v>
      </c>
      <c r="J1376" s="5">
        <v>3663.9</v>
      </c>
      <c r="K1376" s="5"/>
      <c r="L1376" s="5">
        <v>3</v>
      </c>
      <c r="M1376" s="2" t="s">
        <v>571</v>
      </c>
      <c r="N1376" s="5">
        <v>70</v>
      </c>
      <c r="O1376" s="5">
        <v>35</v>
      </c>
      <c r="P1376" s="5">
        <f xml:space="preserve"> (0.204*N1376) + (3.598*O1376) - 87.808</f>
        <v>52.401999999999973</v>
      </c>
      <c r="Q1376" s="2" t="s">
        <v>376</v>
      </c>
      <c r="R1376" s="5">
        <f>P1376*L1376</f>
        <v>157.2059999999999</v>
      </c>
      <c r="S1376" s="5">
        <v>4.29</v>
      </c>
      <c r="T1376" s="9">
        <f>MEDIAN(1,4)</f>
        <v>2.5</v>
      </c>
      <c r="U1376" s="2" t="str">
        <f>IF(T1376&lt;=1, "1",IF(AND(T1376&gt;1,T1376&lt;4), "2-3", "+4"))</f>
        <v>2-3</v>
      </c>
      <c r="V1376" s="5">
        <f>S1376*T1376</f>
        <v>10.725</v>
      </c>
      <c r="W1376" s="6" t="s">
        <v>2856</v>
      </c>
    </row>
    <row r="1377" spans="1:23" x14ac:dyDescent="0.15">
      <c r="A1377" s="2" t="s">
        <v>202</v>
      </c>
      <c r="B1377" s="2" t="s">
        <v>3934</v>
      </c>
      <c r="C1377" s="2" t="s">
        <v>956</v>
      </c>
      <c r="D1377" s="2" t="s">
        <v>432</v>
      </c>
      <c r="E1377" s="1"/>
      <c r="F1377" s="2" t="s">
        <v>73</v>
      </c>
      <c r="G1377" s="2">
        <v>10</v>
      </c>
      <c r="H1377" s="2" t="str">
        <f t="shared" si="46"/>
        <v>W</v>
      </c>
      <c r="I1377" s="5">
        <v>24.9</v>
      </c>
      <c r="J1377" s="5">
        <v>2852</v>
      </c>
      <c r="K1377" s="5"/>
      <c r="L1377" s="5">
        <v>4.3</v>
      </c>
      <c r="M1377" s="2" t="s">
        <v>571</v>
      </c>
      <c r="N1377" s="5">
        <v>64.2</v>
      </c>
      <c r="O1377" s="5">
        <v>34.9</v>
      </c>
      <c r="P1377" s="5">
        <v>49.6</v>
      </c>
      <c r="Q1377" s="2" t="s">
        <v>18</v>
      </c>
      <c r="R1377" s="5">
        <f>P1377*L1377</f>
        <v>213.28</v>
      </c>
      <c r="S1377" s="5">
        <f>(R1377/J1377)*100</f>
        <v>7.4782608695652177</v>
      </c>
      <c r="V1377" s="5"/>
      <c r="W1377" s="6" t="s">
        <v>2027</v>
      </c>
    </row>
    <row r="1378" spans="1:23" x14ac:dyDescent="0.15">
      <c r="A1378" s="2" t="s">
        <v>202</v>
      </c>
      <c r="B1378" s="2" t="s">
        <v>3934</v>
      </c>
      <c r="C1378" s="2" t="s">
        <v>956</v>
      </c>
      <c r="D1378" s="2" t="s">
        <v>432</v>
      </c>
      <c r="E1378" s="1"/>
      <c r="F1378" s="2" t="s">
        <v>200</v>
      </c>
      <c r="G1378" s="2">
        <v>9</v>
      </c>
      <c r="H1378" s="2" t="str">
        <f t="shared" si="46"/>
        <v>W</v>
      </c>
      <c r="I1378" s="5">
        <v>27.3</v>
      </c>
      <c r="J1378" s="5">
        <f xml:space="preserve"> 0.0002*(I1378*10)^2.94</f>
        <v>2906.3517702051117</v>
      </c>
      <c r="K1378" s="5"/>
      <c r="L1378" s="5">
        <v>3.2</v>
      </c>
      <c r="M1378" s="2" t="s">
        <v>571</v>
      </c>
      <c r="N1378" s="5">
        <v>68</v>
      </c>
      <c r="O1378" s="5">
        <v>35</v>
      </c>
      <c r="P1378" s="5">
        <f xml:space="preserve"> (0.204*N1378) + (3.598*O1378) - 87.808</f>
        <v>51.993999999999986</v>
      </c>
      <c r="Q1378" s="2" t="s">
        <v>376</v>
      </c>
      <c r="R1378" s="5">
        <f>P1378*L1378</f>
        <v>166.38079999999997</v>
      </c>
      <c r="S1378" s="5">
        <f>(R1378/J1378)*100</f>
        <v>5.7247302857719067</v>
      </c>
      <c r="V1378" s="5"/>
      <c r="W1378" s="6" t="s">
        <v>1996</v>
      </c>
    </row>
    <row r="1379" spans="1:23" x14ac:dyDescent="0.15">
      <c r="A1379" s="2" t="s">
        <v>202</v>
      </c>
      <c r="B1379" s="2" t="s">
        <v>3934</v>
      </c>
      <c r="C1379" s="2" t="s">
        <v>956</v>
      </c>
      <c r="D1379" s="2" t="s">
        <v>764</v>
      </c>
      <c r="E1379" s="1"/>
      <c r="F1379" s="2" t="s">
        <v>219</v>
      </c>
      <c r="G1379" s="2" t="s">
        <v>374</v>
      </c>
      <c r="H1379" s="2" t="str">
        <f t="shared" ref="H1379:H1442" si="47">IF(G1379="captive","C","W")</f>
        <v>C</v>
      </c>
      <c r="I1379" s="5"/>
      <c r="J1379" s="5"/>
      <c r="K1379" s="5"/>
      <c r="L1379" s="7">
        <f>MEDIAN(1,2)</f>
        <v>1.5</v>
      </c>
      <c r="M1379" s="2" t="s">
        <v>571</v>
      </c>
      <c r="N1379" s="5"/>
      <c r="O1379" s="5"/>
      <c r="P1379" s="5"/>
      <c r="R1379" s="5"/>
      <c r="S1379" s="5"/>
      <c r="V1379" s="5"/>
      <c r="W1379" s="6" t="s">
        <v>2720</v>
      </c>
    </row>
    <row r="1380" spans="1:23" x14ac:dyDescent="0.15">
      <c r="A1380" s="2" t="s">
        <v>202</v>
      </c>
      <c r="B1380" s="2" t="s">
        <v>3934</v>
      </c>
      <c r="C1380" s="2" t="s">
        <v>956</v>
      </c>
      <c r="D1380" s="2" t="s">
        <v>764</v>
      </c>
      <c r="E1380" s="1"/>
      <c r="F1380" s="2" t="s">
        <v>219</v>
      </c>
      <c r="G1380" s="2">
        <v>6</v>
      </c>
      <c r="H1380" s="2" t="str">
        <f t="shared" si="47"/>
        <v>W</v>
      </c>
      <c r="I1380" s="5">
        <v>22.77</v>
      </c>
      <c r="J1380" s="5">
        <v>1705</v>
      </c>
      <c r="K1380" s="5"/>
      <c r="L1380" s="5">
        <v>1</v>
      </c>
      <c r="M1380" s="2" t="s">
        <v>571</v>
      </c>
      <c r="N1380" s="5">
        <v>70</v>
      </c>
      <c r="O1380" s="5">
        <v>37</v>
      </c>
      <c r="P1380" s="5">
        <f xml:space="preserve"> 1.285*N1380 + 1.86*O1380 - 92.395</f>
        <v>66.374999999999986</v>
      </c>
      <c r="Q1380" s="2" t="s">
        <v>376</v>
      </c>
      <c r="R1380" s="5">
        <v>66.38</v>
      </c>
      <c r="S1380" s="5">
        <v>3.89</v>
      </c>
      <c r="V1380" s="5"/>
      <c r="W1380" s="6" t="s">
        <v>2333</v>
      </c>
    </row>
    <row r="1381" spans="1:23" x14ac:dyDescent="0.15">
      <c r="A1381" s="2" t="s">
        <v>202</v>
      </c>
      <c r="B1381" s="2" t="s">
        <v>3934</v>
      </c>
      <c r="C1381" s="2" t="s">
        <v>956</v>
      </c>
      <c r="D1381" s="2" t="s">
        <v>764</v>
      </c>
      <c r="E1381" s="1"/>
      <c r="F1381" s="2" t="s">
        <v>200</v>
      </c>
      <c r="G1381" s="2">
        <v>8</v>
      </c>
      <c r="H1381" s="2" t="str">
        <f t="shared" si="47"/>
        <v>W</v>
      </c>
      <c r="I1381" s="5">
        <v>24.3</v>
      </c>
      <c r="J1381" s="5">
        <f>2700+R1381</f>
        <v>2887</v>
      </c>
      <c r="K1381" s="5"/>
      <c r="L1381" s="5">
        <v>5</v>
      </c>
      <c r="M1381" s="2" t="s">
        <v>571</v>
      </c>
      <c r="N1381" s="5">
        <v>52</v>
      </c>
      <c r="O1381" s="5">
        <v>34</v>
      </c>
      <c r="P1381" s="5">
        <v>37.4</v>
      </c>
      <c r="Q1381" s="2" t="s">
        <v>18</v>
      </c>
      <c r="R1381" s="5">
        <v>187</v>
      </c>
      <c r="S1381" s="5">
        <f>(R1381/J1381)*100</f>
        <v>6.4773120886733633</v>
      </c>
      <c r="V1381" s="5"/>
      <c r="W1381" s="6" t="s">
        <v>2417</v>
      </c>
    </row>
    <row r="1382" spans="1:23" x14ac:dyDescent="0.15">
      <c r="A1382" s="2" t="s">
        <v>202</v>
      </c>
      <c r="B1382" s="2" t="s">
        <v>3934</v>
      </c>
      <c r="C1382" s="2" t="s">
        <v>956</v>
      </c>
      <c r="D1382" s="2" t="s">
        <v>764</v>
      </c>
      <c r="E1382" s="1"/>
      <c r="F1382" s="2" t="s">
        <v>219</v>
      </c>
      <c r="H1382" s="2" t="s">
        <v>3887</v>
      </c>
      <c r="I1382" s="5"/>
      <c r="J1382" s="5"/>
      <c r="K1382" s="5"/>
      <c r="L1382" s="5">
        <v>2</v>
      </c>
      <c r="M1382" s="7" t="s">
        <v>571</v>
      </c>
      <c r="N1382" s="5">
        <v>70</v>
      </c>
      <c r="O1382" s="5">
        <v>38</v>
      </c>
      <c r="P1382" s="5">
        <f xml:space="preserve"> (1.285*N1382) + (1.86*O1382) - 92.395</f>
        <v>68.234999999999999</v>
      </c>
      <c r="Q1382" s="2" t="s">
        <v>376</v>
      </c>
      <c r="R1382" s="5">
        <f>L1382*P1382</f>
        <v>136.47</v>
      </c>
      <c r="S1382" s="5"/>
      <c r="V1382" s="5"/>
      <c r="W1382" s="6" t="s">
        <v>2165</v>
      </c>
    </row>
    <row r="1383" spans="1:23" x14ac:dyDescent="0.15">
      <c r="A1383" s="2" t="s">
        <v>202</v>
      </c>
      <c r="B1383" s="2" t="s">
        <v>3934</v>
      </c>
      <c r="C1383" s="2" t="s">
        <v>956</v>
      </c>
      <c r="D1383" s="2" t="s">
        <v>764</v>
      </c>
      <c r="E1383" s="1"/>
      <c r="F1383" s="2" t="s">
        <v>219</v>
      </c>
      <c r="H1383" s="2" t="s">
        <v>3887</v>
      </c>
      <c r="I1383" s="5">
        <v>21.88</v>
      </c>
      <c r="J1383" s="5">
        <f xml:space="preserve"> 0.0002*(I1383*10)^2.94</f>
        <v>1516.2440498465535</v>
      </c>
      <c r="K1383" s="5"/>
      <c r="L1383" s="7"/>
      <c r="M1383" s="2" t="s">
        <v>571</v>
      </c>
      <c r="N1383" s="5"/>
      <c r="O1383" s="5"/>
      <c r="P1383" s="5"/>
      <c r="R1383" s="5"/>
      <c r="S1383" s="5"/>
      <c r="V1383" s="5"/>
      <c r="W1383" s="6" t="s">
        <v>3111</v>
      </c>
    </row>
    <row r="1384" spans="1:23" x14ac:dyDescent="0.15">
      <c r="A1384" s="2" t="s">
        <v>202</v>
      </c>
      <c r="B1384" s="2" t="s">
        <v>3934</v>
      </c>
      <c r="C1384" s="2" t="s">
        <v>956</v>
      </c>
      <c r="D1384" s="2" t="s">
        <v>765</v>
      </c>
      <c r="E1384" s="1"/>
      <c r="F1384" s="2" t="s">
        <v>219</v>
      </c>
      <c r="G1384" s="2">
        <v>3.6</v>
      </c>
      <c r="H1384" s="2" t="str">
        <f t="shared" si="47"/>
        <v>W</v>
      </c>
      <c r="I1384" s="5">
        <v>17.78</v>
      </c>
      <c r="J1384" s="5">
        <f xml:space="preserve"> 0.0002*(I1384*10)^2.94</f>
        <v>823.81436426154232</v>
      </c>
      <c r="K1384" s="5"/>
      <c r="L1384" s="5">
        <v>1</v>
      </c>
      <c r="M1384" s="2" t="s">
        <v>571</v>
      </c>
      <c r="N1384" s="5">
        <v>63.8</v>
      </c>
      <c r="O1384" s="5">
        <v>34.4</v>
      </c>
      <c r="P1384" s="5">
        <v>45.8</v>
      </c>
      <c r="Q1384" s="2" t="s">
        <v>18</v>
      </c>
      <c r="R1384" s="5">
        <f>P1384*L1384</f>
        <v>45.8</v>
      </c>
      <c r="S1384" s="5">
        <f>(R1384/J1384)*100</f>
        <v>5.5595049063091526</v>
      </c>
      <c r="T1384" s="2">
        <v>1</v>
      </c>
      <c r="U1384" s="2" t="str">
        <f>IF(T1384&lt;=1, "1",IF(AND(T1384&gt;1,T1384&lt;4), "2-3", "+4"))</f>
        <v>1</v>
      </c>
      <c r="V1384" s="5">
        <f>S1384*T1384</f>
        <v>5.5595049063091526</v>
      </c>
      <c r="W1384" s="10" t="s">
        <v>2028</v>
      </c>
    </row>
    <row r="1385" spans="1:23" x14ac:dyDescent="0.15">
      <c r="A1385" s="2" t="s">
        <v>202</v>
      </c>
      <c r="B1385" s="2" t="s">
        <v>3934</v>
      </c>
      <c r="C1385" s="2" t="s">
        <v>956</v>
      </c>
      <c r="D1385" s="2" t="s">
        <v>765</v>
      </c>
      <c r="E1385" s="1"/>
      <c r="F1385" s="2" t="s">
        <v>219</v>
      </c>
      <c r="G1385" s="2">
        <v>3.9</v>
      </c>
      <c r="H1385" s="2" t="str">
        <f t="shared" si="47"/>
        <v>W</v>
      </c>
      <c r="I1385" s="5">
        <v>17.989999999999998</v>
      </c>
      <c r="J1385" s="5">
        <v>853</v>
      </c>
      <c r="K1385" s="5"/>
      <c r="L1385" s="5"/>
      <c r="M1385" s="2" t="s">
        <v>571</v>
      </c>
      <c r="N1385" s="5"/>
      <c r="O1385" s="5"/>
      <c r="P1385" s="5"/>
      <c r="R1385" s="5"/>
      <c r="S1385" s="5"/>
      <c r="V1385" s="5"/>
      <c r="W1385" s="6" t="s">
        <v>2857</v>
      </c>
    </row>
    <row r="1386" spans="1:23" x14ac:dyDescent="0.15">
      <c r="A1386" s="2" t="s">
        <v>202</v>
      </c>
      <c r="B1386" s="2" t="s">
        <v>3934</v>
      </c>
      <c r="C1386" s="2" t="s">
        <v>956</v>
      </c>
      <c r="D1386" s="2" t="s">
        <v>765</v>
      </c>
      <c r="E1386" s="1"/>
      <c r="F1386" s="2" t="s">
        <v>219</v>
      </c>
      <c r="G1386" s="2">
        <v>9.7200000000000006</v>
      </c>
      <c r="H1386" s="2" t="str">
        <f t="shared" si="47"/>
        <v>W</v>
      </c>
      <c r="I1386" s="5">
        <v>15.59</v>
      </c>
      <c r="J1386" s="5">
        <v>747.89</v>
      </c>
      <c r="K1386" s="5"/>
      <c r="L1386" s="7"/>
      <c r="M1386" s="2" t="s">
        <v>571</v>
      </c>
      <c r="N1386" s="5"/>
      <c r="O1386" s="5"/>
      <c r="P1386" s="5"/>
      <c r="R1386" s="5"/>
      <c r="S1386" s="5"/>
      <c r="V1386" s="5"/>
      <c r="W1386" s="6" t="s">
        <v>2846</v>
      </c>
    </row>
    <row r="1387" spans="1:23" x14ac:dyDescent="0.15">
      <c r="A1387" s="2" t="s">
        <v>202</v>
      </c>
      <c r="B1387" s="2" t="s">
        <v>3934</v>
      </c>
      <c r="C1387" s="2" t="s">
        <v>956</v>
      </c>
      <c r="D1387" s="2" t="s">
        <v>765</v>
      </c>
      <c r="E1387" s="1"/>
      <c r="F1387" s="2" t="s">
        <v>219</v>
      </c>
      <c r="G1387" s="2">
        <v>3.9</v>
      </c>
      <c r="H1387" s="2" t="str">
        <f t="shared" si="47"/>
        <v>W</v>
      </c>
      <c r="I1387" s="5">
        <v>17.989999999999998</v>
      </c>
      <c r="J1387" s="5">
        <v>853</v>
      </c>
      <c r="K1387" s="5"/>
      <c r="L1387" s="5"/>
      <c r="M1387" s="2" t="s">
        <v>571</v>
      </c>
      <c r="N1387" s="5"/>
      <c r="O1387" s="5"/>
      <c r="P1387" s="5"/>
      <c r="R1387" s="5"/>
      <c r="S1387" s="5"/>
      <c r="V1387" s="5"/>
      <c r="W1387" s="6" t="s">
        <v>2847</v>
      </c>
    </row>
    <row r="1388" spans="1:23" x14ac:dyDescent="0.15">
      <c r="A1388" s="2" t="s">
        <v>202</v>
      </c>
      <c r="B1388" s="2" t="s">
        <v>3934</v>
      </c>
      <c r="C1388" s="2" t="s">
        <v>956</v>
      </c>
      <c r="D1388" s="2" t="s">
        <v>765</v>
      </c>
      <c r="E1388" s="1"/>
      <c r="F1388" s="2" t="s">
        <v>219</v>
      </c>
      <c r="G1388" s="2">
        <v>3.9</v>
      </c>
      <c r="H1388" s="2" t="str">
        <f t="shared" si="47"/>
        <v>W</v>
      </c>
      <c r="I1388" s="5"/>
      <c r="J1388" s="5"/>
      <c r="K1388" s="5"/>
      <c r="L1388" s="5">
        <v>1</v>
      </c>
      <c r="M1388" s="2" t="s">
        <v>571</v>
      </c>
      <c r="N1388" s="5">
        <v>63.8</v>
      </c>
      <c r="O1388" s="5">
        <v>35.4</v>
      </c>
      <c r="P1388" s="5">
        <v>45.8</v>
      </c>
      <c r="Q1388" s="2" t="s">
        <v>18</v>
      </c>
      <c r="R1388" s="5">
        <v>45.8</v>
      </c>
      <c r="S1388" s="5"/>
      <c r="V1388" s="5"/>
      <c r="W1388" s="6" t="s">
        <v>2848</v>
      </c>
    </row>
    <row r="1389" spans="1:23" x14ac:dyDescent="0.15">
      <c r="A1389" s="2" t="s">
        <v>202</v>
      </c>
      <c r="B1389" s="2" t="s">
        <v>3934</v>
      </c>
      <c r="C1389" s="2" t="s">
        <v>956</v>
      </c>
      <c r="D1389" s="2" t="s">
        <v>765</v>
      </c>
      <c r="E1389" s="1"/>
      <c r="F1389" s="2" t="s">
        <v>219</v>
      </c>
      <c r="G1389" s="2">
        <v>5</v>
      </c>
      <c r="H1389" s="2" t="str">
        <f t="shared" si="47"/>
        <v>W</v>
      </c>
      <c r="I1389" s="5">
        <v>19.61</v>
      </c>
      <c r="J1389" s="5">
        <v>1099</v>
      </c>
      <c r="K1389" s="5"/>
      <c r="L1389" s="5">
        <v>1</v>
      </c>
      <c r="M1389" s="2" t="s">
        <v>571</v>
      </c>
      <c r="N1389" s="5">
        <v>68.33</v>
      </c>
      <c r="O1389" s="5">
        <v>37</v>
      </c>
      <c r="P1389" s="5">
        <v>64.23</v>
      </c>
      <c r="Q1389" s="2" t="s">
        <v>376</v>
      </c>
      <c r="R1389" s="5">
        <v>64.23</v>
      </c>
      <c r="S1389" s="5">
        <v>5.84</v>
      </c>
      <c r="V1389" s="5"/>
      <c r="W1389" s="6" t="s">
        <v>2333</v>
      </c>
    </row>
    <row r="1390" spans="1:23" x14ac:dyDescent="0.15">
      <c r="A1390" s="2" t="s">
        <v>202</v>
      </c>
      <c r="B1390" s="2" t="s">
        <v>3934</v>
      </c>
      <c r="C1390" s="2" t="s">
        <v>956</v>
      </c>
      <c r="D1390" s="2" t="s">
        <v>765</v>
      </c>
      <c r="E1390" s="1"/>
      <c r="F1390" s="2" t="s">
        <v>219</v>
      </c>
      <c r="G1390" s="2">
        <v>9.74</v>
      </c>
      <c r="H1390" s="2" t="str">
        <f t="shared" si="47"/>
        <v>W</v>
      </c>
      <c r="I1390" s="5">
        <v>17.87</v>
      </c>
      <c r="J1390" s="5">
        <f xml:space="preserve"> 0.0002*(I1390*10)^2.94</f>
        <v>836.13457060190615</v>
      </c>
      <c r="K1390" s="5"/>
      <c r="L1390" s="7"/>
      <c r="M1390" s="2" t="s">
        <v>571</v>
      </c>
      <c r="N1390" s="5"/>
      <c r="O1390" s="5"/>
      <c r="P1390" s="5"/>
      <c r="R1390" s="5"/>
      <c r="S1390" s="5"/>
      <c r="V1390" s="5"/>
      <c r="W1390" s="6" t="s">
        <v>2858</v>
      </c>
    </row>
    <row r="1391" spans="1:23" x14ac:dyDescent="0.15">
      <c r="A1391" s="2" t="s">
        <v>202</v>
      </c>
      <c r="B1391" s="2" t="s">
        <v>3934</v>
      </c>
      <c r="C1391" s="2" t="s">
        <v>956</v>
      </c>
      <c r="D1391" s="2" t="s">
        <v>765</v>
      </c>
      <c r="E1391" s="1"/>
      <c r="F1391" s="2" t="s">
        <v>219</v>
      </c>
      <c r="H1391" s="2" t="s">
        <v>3887</v>
      </c>
      <c r="I1391" s="5"/>
      <c r="J1391" s="5"/>
      <c r="K1391" s="5"/>
      <c r="L1391" s="5">
        <v>1</v>
      </c>
      <c r="M1391" s="2" t="s">
        <v>571</v>
      </c>
      <c r="N1391" s="5">
        <v>70</v>
      </c>
      <c r="O1391" s="5">
        <v>38</v>
      </c>
      <c r="P1391" s="5">
        <v>64.23</v>
      </c>
      <c r="Q1391" s="2" t="s">
        <v>376</v>
      </c>
      <c r="R1391" s="5">
        <f>P1391*L1391</f>
        <v>64.23</v>
      </c>
      <c r="S1391" s="5"/>
      <c r="V1391" s="5"/>
      <c r="W1391" s="6" t="s">
        <v>2165</v>
      </c>
    </row>
    <row r="1392" spans="1:23" x14ac:dyDescent="0.15">
      <c r="A1392" s="2" t="s">
        <v>202</v>
      </c>
      <c r="B1392" s="2" t="s">
        <v>3934</v>
      </c>
      <c r="C1392" s="2" t="s">
        <v>956</v>
      </c>
      <c r="D1392" s="2" t="s">
        <v>433</v>
      </c>
      <c r="E1392" s="1" t="s">
        <v>960</v>
      </c>
      <c r="F1392" s="2" t="s">
        <v>73</v>
      </c>
      <c r="H1392" s="2" t="s">
        <v>3887</v>
      </c>
      <c r="I1392" s="5"/>
      <c r="J1392" s="5"/>
      <c r="K1392" s="5"/>
      <c r="L1392" s="7">
        <f>MEDIAN(1,5)</f>
        <v>3</v>
      </c>
      <c r="M1392" s="2" t="s">
        <v>571</v>
      </c>
      <c r="N1392" s="7">
        <v>52</v>
      </c>
      <c r="O1392" s="5">
        <v>32</v>
      </c>
      <c r="P1392" s="5">
        <f xml:space="preserve"> (0.545*N1392) + (1.555*O1392) - 46.53</f>
        <v>31.569999999999993</v>
      </c>
      <c r="Q1392" s="2" t="s">
        <v>376</v>
      </c>
      <c r="R1392" s="5">
        <f>P1392*L1392</f>
        <v>94.70999999999998</v>
      </c>
      <c r="S1392" s="5"/>
      <c r="V1392" s="5"/>
      <c r="W1392" s="6" t="s">
        <v>2863</v>
      </c>
    </row>
    <row r="1393" spans="1:23" x14ac:dyDescent="0.15">
      <c r="A1393" s="2" t="s">
        <v>202</v>
      </c>
      <c r="B1393" s="2" t="s">
        <v>3934</v>
      </c>
      <c r="C1393" s="2" t="s">
        <v>956</v>
      </c>
      <c r="D1393" s="2" t="s">
        <v>433</v>
      </c>
      <c r="E1393" s="1" t="s">
        <v>3505</v>
      </c>
      <c r="F1393" s="2" t="s">
        <v>73</v>
      </c>
      <c r="G1393" s="2" t="s">
        <v>374</v>
      </c>
      <c r="H1393" s="2" t="str">
        <f t="shared" si="47"/>
        <v>C</v>
      </c>
      <c r="I1393" s="5">
        <v>13.9</v>
      </c>
      <c r="J1393" s="5">
        <v>1110</v>
      </c>
      <c r="K1393" s="5"/>
      <c r="L1393" s="5">
        <v>3.2</v>
      </c>
      <c r="M1393" s="2" t="s">
        <v>571</v>
      </c>
      <c r="N1393" s="5">
        <v>42.2</v>
      </c>
      <c r="O1393" s="5">
        <v>28.5</v>
      </c>
      <c r="P1393" s="5">
        <v>20.786999999999999</v>
      </c>
      <c r="Q1393" s="2" t="s">
        <v>376</v>
      </c>
      <c r="R1393" s="5">
        <v>66.52</v>
      </c>
      <c r="S1393" s="5">
        <v>5.99</v>
      </c>
      <c r="V1393" s="5"/>
      <c r="W1393" s="6" t="s">
        <v>2864</v>
      </c>
    </row>
    <row r="1394" spans="1:23" x14ac:dyDescent="0.15">
      <c r="A1394" s="2" t="s">
        <v>202</v>
      </c>
      <c r="B1394" s="2" t="s">
        <v>3934</v>
      </c>
      <c r="C1394" s="2" t="s">
        <v>956</v>
      </c>
      <c r="D1394" s="2" t="s">
        <v>433</v>
      </c>
      <c r="E1394" s="1" t="s">
        <v>3505</v>
      </c>
      <c r="F1394" s="2" t="s">
        <v>374</v>
      </c>
      <c r="G1394" s="2" t="s">
        <v>374</v>
      </c>
      <c r="H1394" s="2" t="str">
        <f t="shared" si="47"/>
        <v>C</v>
      </c>
      <c r="I1394" s="5">
        <v>18.5</v>
      </c>
      <c r="J1394" s="5">
        <v>754</v>
      </c>
      <c r="K1394" s="5"/>
      <c r="L1394" s="7">
        <v>3.5</v>
      </c>
      <c r="M1394" s="2" t="s">
        <v>571</v>
      </c>
      <c r="N1394" s="5">
        <f>MEDIAN(39,55)</f>
        <v>47</v>
      </c>
      <c r="O1394" s="5">
        <f>MEDIAN(23,31)</f>
        <v>27</v>
      </c>
      <c r="P1394" s="5">
        <v>20</v>
      </c>
      <c r="Q1394" s="2" t="s">
        <v>18</v>
      </c>
      <c r="R1394" s="5">
        <v>70</v>
      </c>
      <c r="S1394" s="5">
        <v>9.2799999999999994</v>
      </c>
      <c r="T1394" s="9">
        <f>MEDIAN(2,3)</f>
        <v>2.5</v>
      </c>
      <c r="U1394" s="2" t="str">
        <f>IF(T1394&lt;=1, "1",IF(AND(T1394&gt;1,T1394&lt;4), "2-3", "+4"))</f>
        <v>2-3</v>
      </c>
      <c r="V1394" s="5">
        <f>S1394*T1394</f>
        <v>23.2</v>
      </c>
      <c r="W1394" s="6" t="s">
        <v>2866</v>
      </c>
    </row>
    <row r="1395" spans="1:23" x14ac:dyDescent="0.15">
      <c r="A1395" s="2" t="s">
        <v>202</v>
      </c>
      <c r="B1395" s="2" t="s">
        <v>3934</v>
      </c>
      <c r="C1395" s="2" t="s">
        <v>956</v>
      </c>
      <c r="D1395" s="2" t="s">
        <v>433</v>
      </c>
      <c r="E1395" s="1" t="s">
        <v>960</v>
      </c>
      <c r="F1395" s="2" t="s">
        <v>374</v>
      </c>
      <c r="G1395" s="2" t="s">
        <v>374</v>
      </c>
      <c r="H1395" s="2" t="str">
        <f t="shared" si="47"/>
        <v>C</v>
      </c>
      <c r="I1395" s="5">
        <v>19</v>
      </c>
      <c r="J1395" s="5">
        <f xml:space="preserve"> 0.0002*(I1395*10)^2.94</f>
        <v>1001.3031501166173</v>
      </c>
      <c r="K1395" s="5"/>
      <c r="L1395" s="5">
        <v>4</v>
      </c>
      <c r="M1395" s="2" t="s">
        <v>571</v>
      </c>
      <c r="N1395" s="5">
        <v>38.81</v>
      </c>
      <c r="O1395" s="5">
        <v>28.88</v>
      </c>
      <c r="P1395" s="5">
        <f xml:space="preserve"> (0.545*N1395) + (1.555*O1395) - 46.53</f>
        <v>19.529849999999996</v>
      </c>
      <c r="Q1395" s="2" t="s">
        <v>376</v>
      </c>
      <c r="R1395" s="5">
        <f>P1395*L1395</f>
        <v>78.119399999999985</v>
      </c>
      <c r="S1395" s="5">
        <f>(R1395/J1395)*100</f>
        <v>7.8017731184508676</v>
      </c>
      <c r="T1395" s="2" t="s">
        <v>399</v>
      </c>
      <c r="V1395" s="5"/>
      <c r="W1395" s="6" t="s">
        <v>2859</v>
      </c>
    </row>
    <row r="1396" spans="1:23" x14ac:dyDescent="0.15">
      <c r="A1396" s="2" t="s">
        <v>202</v>
      </c>
      <c r="B1396" s="2" t="s">
        <v>3934</v>
      </c>
      <c r="C1396" s="2" t="s">
        <v>956</v>
      </c>
      <c r="D1396" s="2" t="s">
        <v>433</v>
      </c>
      <c r="E1396" s="1" t="s">
        <v>3504</v>
      </c>
      <c r="F1396" s="2" t="s">
        <v>2443</v>
      </c>
      <c r="G1396" s="2" t="s">
        <v>374</v>
      </c>
      <c r="H1396" s="2" t="str">
        <f t="shared" si="47"/>
        <v>C</v>
      </c>
      <c r="I1396" s="5">
        <v>19</v>
      </c>
      <c r="J1396" s="5">
        <f xml:space="preserve"> 0.0002*(I1396*10)^2.94</f>
        <v>1001.3031501166173</v>
      </c>
      <c r="K1396" s="5"/>
      <c r="L1396" s="7">
        <v>4</v>
      </c>
      <c r="M1396" s="2" t="s">
        <v>571</v>
      </c>
      <c r="N1396" s="5"/>
      <c r="O1396" s="5"/>
      <c r="P1396" s="5"/>
      <c r="R1396" s="5"/>
      <c r="S1396" s="5"/>
      <c r="T1396" s="2" t="s">
        <v>399</v>
      </c>
      <c r="V1396" s="5"/>
      <c r="W1396" s="6" t="s">
        <v>2860</v>
      </c>
    </row>
    <row r="1397" spans="1:23" x14ac:dyDescent="0.15">
      <c r="A1397" s="2" t="s">
        <v>202</v>
      </c>
      <c r="B1397" s="2" t="s">
        <v>3934</v>
      </c>
      <c r="C1397" s="2" t="s">
        <v>956</v>
      </c>
      <c r="D1397" s="2" t="s">
        <v>433</v>
      </c>
      <c r="E1397" s="1" t="s">
        <v>3505</v>
      </c>
      <c r="F1397" s="2" t="s">
        <v>374</v>
      </c>
      <c r="G1397" s="2" t="s">
        <v>374</v>
      </c>
      <c r="H1397" s="2" t="str">
        <f t="shared" si="47"/>
        <v>C</v>
      </c>
      <c r="I1397" s="5">
        <v>15.33</v>
      </c>
      <c r="J1397" s="5">
        <v>446.67</v>
      </c>
      <c r="K1397" s="5">
        <v>3</v>
      </c>
      <c r="L1397" s="5">
        <v>1.875</v>
      </c>
      <c r="M1397" s="2" t="s">
        <v>571</v>
      </c>
      <c r="N1397" s="5">
        <v>43.33</v>
      </c>
      <c r="O1397" s="5">
        <v>27.67</v>
      </c>
      <c r="P1397" s="5">
        <v>21.17</v>
      </c>
      <c r="Q1397" s="2" t="s">
        <v>18</v>
      </c>
      <c r="R1397" s="5">
        <v>39.69</v>
      </c>
      <c r="S1397" s="5">
        <v>8.89</v>
      </c>
      <c r="T1397" s="9">
        <f>MEDIAN(4,8)</f>
        <v>6</v>
      </c>
      <c r="U1397" s="2" t="str">
        <f>IF(T1397&lt;=1, "1",IF(AND(T1397&gt;1,T1397&lt;4), "2-3", "+4"))</f>
        <v>+4</v>
      </c>
      <c r="V1397" s="5">
        <f>S1397*T1397</f>
        <v>53.34</v>
      </c>
      <c r="W1397" s="6" t="s">
        <v>2867</v>
      </c>
    </row>
    <row r="1398" spans="1:23" x14ac:dyDescent="0.15">
      <c r="A1398" s="2" t="s">
        <v>202</v>
      </c>
      <c r="B1398" s="2" t="s">
        <v>3934</v>
      </c>
      <c r="C1398" s="2" t="s">
        <v>956</v>
      </c>
      <c r="D1398" s="2" t="s">
        <v>433</v>
      </c>
      <c r="E1398" s="1" t="s">
        <v>3506</v>
      </c>
      <c r="F1398" s="2" t="s">
        <v>374</v>
      </c>
      <c r="G1398" s="2" t="s">
        <v>374</v>
      </c>
      <c r="H1398" s="2" t="str">
        <f t="shared" si="47"/>
        <v>C</v>
      </c>
      <c r="I1398" s="5"/>
      <c r="J1398" s="5"/>
      <c r="K1398" s="7"/>
      <c r="L1398" s="7">
        <v>1.5</v>
      </c>
      <c r="M1398" s="7" t="s">
        <v>571</v>
      </c>
      <c r="N1398" s="7">
        <v>52.5</v>
      </c>
      <c r="O1398" s="5">
        <v>31.1</v>
      </c>
      <c r="P1398" s="5">
        <v>30.6</v>
      </c>
      <c r="Q1398" s="2" t="s">
        <v>18</v>
      </c>
      <c r="R1398" s="5">
        <v>45.9</v>
      </c>
      <c r="S1398" s="5"/>
      <c r="T1398" s="2" t="s">
        <v>122</v>
      </c>
      <c r="V1398" s="5"/>
      <c r="W1398" s="6" t="s">
        <v>2213</v>
      </c>
    </row>
    <row r="1399" spans="1:23" x14ac:dyDescent="0.15">
      <c r="A1399" s="2" t="s">
        <v>202</v>
      </c>
      <c r="B1399" s="2" t="s">
        <v>3934</v>
      </c>
      <c r="C1399" s="2" t="s">
        <v>956</v>
      </c>
      <c r="D1399" s="2" t="s">
        <v>433</v>
      </c>
      <c r="E1399" s="1" t="s">
        <v>960</v>
      </c>
      <c r="F1399" s="2" t="s">
        <v>379</v>
      </c>
      <c r="H1399" s="2" t="s">
        <v>3887</v>
      </c>
      <c r="I1399" s="5">
        <v>13.67</v>
      </c>
      <c r="J1399" s="5">
        <f xml:space="preserve"> 0.0002*(I1399*10)^2.94</f>
        <v>380.35526168661238</v>
      </c>
      <c r="K1399" s="5"/>
      <c r="L1399" s="5"/>
      <c r="M1399" s="2" t="s">
        <v>571</v>
      </c>
      <c r="N1399" s="5"/>
      <c r="O1399" s="5"/>
      <c r="P1399" s="5"/>
      <c r="R1399" s="5"/>
      <c r="S1399" s="5"/>
      <c r="V1399" s="5"/>
      <c r="W1399" s="6" t="s">
        <v>2213</v>
      </c>
    </row>
    <row r="1400" spans="1:23" x14ac:dyDescent="0.15">
      <c r="A1400" s="2" t="s">
        <v>202</v>
      </c>
      <c r="B1400" s="2" t="s">
        <v>3934</v>
      </c>
      <c r="C1400" s="2" t="s">
        <v>956</v>
      </c>
      <c r="D1400" s="2" t="s">
        <v>433</v>
      </c>
      <c r="E1400" s="1" t="s">
        <v>3504</v>
      </c>
      <c r="F1400" s="2" t="s">
        <v>2301</v>
      </c>
      <c r="G1400" s="2">
        <v>13</v>
      </c>
      <c r="H1400" s="2" t="str">
        <f t="shared" si="47"/>
        <v>W</v>
      </c>
      <c r="I1400" s="5">
        <v>20.100000000000001</v>
      </c>
      <c r="J1400" s="5">
        <v>1086</v>
      </c>
      <c r="K1400" s="5"/>
      <c r="L1400" s="5">
        <v>2.2000000000000002</v>
      </c>
      <c r="M1400" s="2" t="s">
        <v>571</v>
      </c>
      <c r="N1400" s="5">
        <v>45.06</v>
      </c>
      <c r="O1400" s="5">
        <v>29.88</v>
      </c>
      <c r="P1400" s="5">
        <v>23.4</v>
      </c>
      <c r="Q1400" s="2" t="s">
        <v>18</v>
      </c>
      <c r="R1400" s="5">
        <v>51.5</v>
      </c>
      <c r="S1400" s="5">
        <f>(R1400/J1400)*100</f>
        <v>4.7421731123388575</v>
      </c>
      <c r="V1400" s="5"/>
      <c r="W1400" s="6" t="s">
        <v>2029</v>
      </c>
    </row>
    <row r="1401" spans="1:23" x14ac:dyDescent="0.15">
      <c r="A1401" s="2" t="s">
        <v>202</v>
      </c>
      <c r="B1401" s="2" t="s">
        <v>3934</v>
      </c>
      <c r="C1401" s="2" t="s">
        <v>956</v>
      </c>
      <c r="D1401" s="2" t="s">
        <v>433</v>
      </c>
      <c r="E1401" s="1" t="s">
        <v>3504</v>
      </c>
      <c r="F1401" s="2" t="s">
        <v>374</v>
      </c>
      <c r="G1401" s="2" t="s">
        <v>374</v>
      </c>
      <c r="H1401" s="2" t="str">
        <f t="shared" si="47"/>
        <v>C</v>
      </c>
      <c r="I1401" s="5">
        <v>19.170000000000002</v>
      </c>
      <c r="J1401" s="5">
        <f xml:space="preserve"> 0.0002*(I1401*10)^2.94</f>
        <v>1027.8719332823655</v>
      </c>
      <c r="K1401" s="5"/>
      <c r="L1401" s="7">
        <v>1.5</v>
      </c>
      <c r="M1401" s="2" t="s">
        <v>571</v>
      </c>
      <c r="N1401" s="5">
        <v>54.75</v>
      </c>
      <c r="O1401" s="5">
        <v>29.75</v>
      </c>
      <c r="P1401" s="5">
        <v>29.57</v>
      </c>
      <c r="Q1401" s="2" t="s">
        <v>376</v>
      </c>
      <c r="R1401" s="5">
        <v>44.36</v>
      </c>
      <c r="S1401" s="5">
        <f>(R1401/J1401)*100</f>
        <v>4.3157127423785697</v>
      </c>
      <c r="T1401" s="2" t="s">
        <v>122</v>
      </c>
      <c r="V1401" s="5"/>
      <c r="W1401" s="6" t="s">
        <v>2861</v>
      </c>
    </row>
    <row r="1402" spans="1:23" x14ac:dyDescent="0.15">
      <c r="A1402" s="2" t="s">
        <v>202</v>
      </c>
      <c r="B1402" s="2" t="s">
        <v>3934</v>
      </c>
      <c r="C1402" s="2" t="s">
        <v>956</v>
      </c>
      <c r="D1402" s="2" t="s">
        <v>433</v>
      </c>
      <c r="E1402" s="1" t="s">
        <v>960</v>
      </c>
      <c r="F1402" s="2" t="s">
        <v>73</v>
      </c>
      <c r="G1402" s="2">
        <v>10</v>
      </c>
      <c r="H1402" s="2" t="str">
        <f t="shared" si="47"/>
        <v>W</v>
      </c>
      <c r="I1402" s="5">
        <v>16.7</v>
      </c>
      <c r="J1402" s="5">
        <v>945</v>
      </c>
      <c r="K1402" s="5"/>
      <c r="L1402" s="5">
        <v>2.6</v>
      </c>
      <c r="M1402" s="2" t="s">
        <v>571</v>
      </c>
      <c r="N1402" s="5">
        <v>46.3</v>
      </c>
      <c r="O1402" s="5">
        <v>28.4</v>
      </c>
      <c r="P1402" s="5">
        <v>22.8</v>
      </c>
      <c r="Q1402" s="2" t="s">
        <v>18</v>
      </c>
      <c r="R1402" s="5">
        <v>59.3</v>
      </c>
      <c r="S1402" s="5">
        <f>(R1402/J1402)*100</f>
        <v>6.2751322751322753</v>
      </c>
      <c r="V1402" s="5"/>
      <c r="W1402" s="6" t="s">
        <v>2027</v>
      </c>
    </row>
    <row r="1403" spans="1:23" x14ac:dyDescent="0.15">
      <c r="A1403" s="2" t="s">
        <v>202</v>
      </c>
      <c r="B1403" s="2" t="s">
        <v>3934</v>
      </c>
      <c r="C1403" s="2" t="s">
        <v>956</v>
      </c>
      <c r="D1403" s="2" t="s">
        <v>433</v>
      </c>
      <c r="E1403" s="1" t="s">
        <v>3505</v>
      </c>
      <c r="F1403" s="2" t="s">
        <v>374</v>
      </c>
      <c r="G1403" s="2" t="s">
        <v>374</v>
      </c>
      <c r="H1403" s="2" t="str">
        <f t="shared" si="47"/>
        <v>C</v>
      </c>
      <c r="I1403" s="5">
        <v>16.399999999999999</v>
      </c>
      <c r="J1403" s="5">
        <v>800</v>
      </c>
      <c r="K1403" s="5"/>
      <c r="L1403" s="7">
        <v>2</v>
      </c>
      <c r="M1403" s="2" t="s">
        <v>571</v>
      </c>
      <c r="N1403" s="5">
        <v>49</v>
      </c>
      <c r="O1403" s="5">
        <v>30</v>
      </c>
      <c r="P1403" s="5">
        <v>27.5</v>
      </c>
      <c r="Q1403" s="2" t="s">
        <v>18</v>
      </c>
      <c r="R1403" s="5">
        <v>55</v>
      </c>
      <c r="S1403" s="5">
        <v>6.88</v>
      </c>
      <c r="V1403" s="5"/>
      <c r="W1403" s="6" t="s">
        <v>2868</v>
      </c>
    </row>
    <row r="1404" spans="1:23" x14ac:dyDescent="0.15">
      <c r="A1404" s="2" t="s">
        <v>202</v>
      </c>
      <c r="B1404" s="2" t="s">
        <v>3934</v>
      </c>
      <c r="C1404" s="2" t="s">
        <v>956</v>
      </c>
      <c r="D1404" s="2" t="s">
        <v>433</v>
      </c>
      <c r="E1404" s="1" t="s">
        <v>3505</v>
      </c>
      <c r="F1404" s="2" t="s">
        <v>374</v>
      </c>
      <c r="G1404" s="2" t="s">
        <v>374</v>
      </c>
      <c r="H1404" s="2" t="str">
        <f t="shared" si="47"/>
        <v>C</v>
      </c>
      <c r="I1404" s="5">
        <v>15.5</v>
      </c>
      <c r="J1404" s="5">
        <v>578</v>
      </c>
      <c r="K1404" s="5"/>
      <c r="L1404" s="5">
        <v>2</v>
      </c>
      <c r="M1404" s="2" t="s">
        <v>571</v>
      </c>
      <c r="N1404" s="5">
        <v>54.5</v>
      </c>
      <c r="O1404" s="5">
        <v>32.75</v>
      </c>
      <c r="P1404" s="5">
        <v>35</v>
      </c>
      <c r="Q1404" s="2" t="s">
        <v>18</v>
      </c>
      <c r="R1404" s="5">
        <v>70</v>
      </c>
      <c r="S1404" s="5">
        <v>12.11</v>
      </c>
      <c r="V1404" s="5"/>
      <c r="W1404" s="6" t="s">
        <v>2869</v>
      </c>
    </row>
    <row r="1405" spans="1:23" x14ac:dyDescent="0.15">
      <c r="A1405" s="2" t="s">
        <v>202</v>
      </c>
      <c r="B1405" s="2" t="s">
        <v>3934</v>
      </c>
      <c r="C1405" s="2" t="s">
        <v>956</v>
      </c>
      <c r="D1405" s="2" t="s">
        <v>766</v>
      </c>
      <c r="E1405" s="1" t="s">
        <v>961</v>
      </c>
      <c r="F1405" s="2" t="s">
        <v>26</v>
      </c>
      <c r="G1405" s="2">
        <v>-4.96</v>
      </c>
      <c r="H1405" s="2" t="str">
        <f t="shared" si="47"/>
        <v>W</v>
      </c>
      <c r="I1405" s="5">
        <f>EXP(LN(J1405/0.0002)/2.94)/10</f>
        <v>21.294362330729626</v>
      </c>
      <c r="J1405" s="5">
        <v>1400</v>
      </c>
      <c r="K1405" s="5"/>
      <c r="L1405" s="5">
        <v>3</v>
      </c>
      <c r="M1405" s="5" t="s">
        <v>571</v>
      </c>
      <c r="N1405" s="5">
        <v>61</v>
      </c>
      <c r="O1405" s="5">
        <v>30.3</v>
      </c>
      <c r="P1405" s="5">
        <v>34.4</v>
      </c>
      <c r="Q1405" s="2" t="s">
        <v>18</v>
      </c>
      <c r="R1405" s="5">
        <v>103.2</v>
      </c>
      <c r="S1405" s="5">
        <v>7.37</v>
      </c>
      <c r="V1405" s="5"/>
      <c r="W1405" s="6" t="s">
        <v>2870</v>
      </c>
    </row>
    <row r="1406" spans="1:23" x14ac:dyDescent="0.15">
      <c r="A1406" s="2" t="s">
        <v>202</v>
      </c>
      <c r="B1406" s="2" t="s">
        <v>3934</v>
      </c>
      <c r="C1406" s="2" t="s">
        <v>956</v>
      </c>
      <c r="D1406" s="2" t="s">
        <v>766</v>
      </c>
      <c r="E1406" s="1" t="s">
        <v>961</v>
      </c>
      <c r="F1406" s="2" t="s">
        <v>26</v>
      </c>
      <c r="G1406" s="2" t="s">
        <v>374</v>
      </c>
      <c r="H1406" s="2" t="str">
        <f t="shared" si="47"/>
        <v>C</v>
      </c>
      <c r="I1406" s="5">
        <v>23.5</v>
      </c>
      <c r="J1406" s="5">
        <v>2163</v>
      </c>
      <c r="K1406" s="5"/>
      <c r="L1406" s="5">
        <v>1.5</v>
      </c>
      <c r="M1406" s="5" t="s">
        <v>571</v>
      </c>
      <c r="N1406" s="5">
        <v>65.67</v>
      </c>
      <c r="O1406" s="5">
        <v>28.33</v>
      </c>
      <c r="P1406" s="5">
        <v>38.67</v>
      </c>
      <c r="Q1406" s="2" t="s">
        <v>18</v>
      </c>
      <c r="R1406" s="5">
        <v>58</v>
      </c>
      <c r="S1406" s="5">
        <v>2.68</v>
      </c>
      <c r="T1406" s="2">
        <v>2</v>
      </c>
      <c r="U1406" s="2" t="str">
        <f>IF(T1406&lt;=1, "1",IF(AND(T1406&gt;1,T1406&lt;4), "2-3", "+4"))</f>
        <v>2-3</v>
      </c>
      <c r="V1406" s="5">
        <f>S1406*T1406</f>
        <v>5.36</v>
      </c>
      <c r="W1406" s="6" t="s">
        <v>2871</v>
      </c>
    </row>
    <row r="1407" spans="1:23" x14ac:dyDescent="0.15">
      <c r="A1407" s="2" t="s">
        <v>202</v>
      </c>
      <c r="B1407" s="2" t="s">
        <v>3934</v>
      </c>
      <c r="C1407" s="2" t="s">
        <v>956</v>
      </c>
      <c r="D1407" s="2" t="s">
        <v>766</v>
      </c>
      <c r="E1407" s="1" t="s">
        <v>961</v>
      </c>
      <c r="F1407" s="2" t="s">
        <v>26</v>
      </c>
      <c r="G1407" s="2">
        <v>-2.23</v>
      </c>
      <c r="H1407" s="2" t="str">
        <f t="shared" si="47"/>
        <v>W</v>
      </c>
      <c r="I1407" s="5">
        <f>EXP(LN(J1407/0.0002)/2.94)/10</f>
        <v>21.635658019742849</v>
      </c>
      <c r="J1407" s="5">
        <v>1467</v>
      </c>
      <c r="K1407" s="5"/>
      <c r="L1407" s="5">
        <v>2.25</v>
      </c>
      <c r="M1407" s="5" t="s">
        <v>571</v>
      </c>
      <c r="N1407" s="5">
        <v>62.7</v>
      </c>
      <c r="O1407" s="5">
        <v>31.4</v>
      </c>
      <c r="P1407" s="5">
        <v>43</v>
      </c>
      <c r="Q1407" s="2" t="s">
        <v>18</v>
      </c>
      <c r="R1407" s="5">
        <v>96.75</v>
      </c>
      <c r="S1407" s="5">
        <v>6.6</v>
      </c>
      <c r="V1407" s="5"/>
      <c r="W1407" s="6" t="s">
        <v>2872</v>
      </c>
    </row>
    <row r="1408" spans="1:23" x14ac:dyDescent="0.15">
      <c r="A1408" s="2" t="s">
        <v>202</v>
      </c>
      <c r="B1408" s="2" t="s">
        <v>3934</v>
      </c>
      <c r="C1408" s="2" t="s">
        <v>956</v>
      </c>
      <c r="D1408" s="2" t="s">
        <v>766</v>
      </c>
      <c r="E1408" s="1" t="s">
        <v>961</v>
      </c>
      <c r="F1408" s="2" t="s">
        <v>26</v>
      </c>
      <c r="G1408" s="2" t="s">
        <v>374</v>
      </c>
      <c r="H1408" s="2" t="str">
        <f t="shared" si="47"/>
        <v>C</v>
      </c>
      <c r="I1408" s="5">
        <v>23.5</v>
      </c>
      <c r="J1408" s="5">
        <v>2250</v>
      </c>
      <c r="K1408" s="5"/>
      <c r="L1408" s="5">
        <v>1</v>
      </c>
      <c r="M1408" s="5" t="s">
        <v>571</v>
      </c>
      <c r="N1408" s="5">
        <v>71</v>
      </c>
      <c r="O1408" s="5">
        <v>31</v>
      </c>
      <c r="P1408" s="5">
        <v>38.71</v>
      </c>
      <c r="Q1408" s="2" t="s">
        <v>376</v>
      </c>
      <c r="R1408" s="5">
        <v>38.71</v>
      </c>
      <c r="S1408" s="5">
        <v>1.72</v>
      </c>
      <c r="V1408" s="5"/>
      <c r="W1408" s="6" t="s">
        <v>2873</v>
      </c>
    </row>
    <row r="1409" spans="1:23" x14ac:dyDescent="0.15">
      <c r="A1409" s="2" t="s">
        <v>202</v>
      </c>
      <c r="B1409" s="2" t="s">
        <v>3934</v>
      </c>
      <c r="C1409" s="2" t="s">
        <v>956</v>
      </c>
      <c r="D1409" s="2" t="s">
        <v>766</v>
      </c>
      <c r="E1409" s="1" t="s">
        <v>3507</v>
      </c>
      <c r="F1409" s="2" t="s">
        <v>26</v>
      </c>
      <c r="G1409" s="2">
        <v>4.07</v>
      </c>
      <c r="H1409" s="2" t="str">
        <f t="shared" si="47"/>
        <v>W</v>
      </c>
      <c r="I1409" s="5">
        <v>18.78</v>
      </c>
      <c r="J1409" s="5">
        <f xml:space="preserve"> 0.0002*(I1409*10)^2.94</f>
        <v>967.59813849800787</v>
      </c>
      <c r="K1409" s="5"/>
      <c r="L1409" s="5"/>
      <c r="M1409" s="5" t="s">
        <v>571</v>
      </c>
      <c r="N1409" s="5"/>
      <c r="O1409" s="5"/>
      <c r="P1409" s="5"/>
      <c r="R1409" s="5"/>
      <c r="S1409" s="5"/>
      <c r="V1409" s="5"/>
      <c r="W1409" s="6" t="s">
        <v>2875</v>
      </c>
    </row>
    <row r="1410" spans="1:23" x14ac:dyDescent="0.15">
      <c r="A1410" s="2" t="s">
        <v>202</v>
      </c>
      <c r="B1410" s="2" t="s">
        <v>3934</v>
      </c>
      <c r="C1410" s="2" t="s">
        <v>956</v>
      </c>
      <c r="D1410" s="2" t="s">
        <v>766</v>
      </c>
      <c r="E1410" s="1" t="s">
        <v>961</v>
      </c>
      <c r="F1410" s="2" t="s">
        <v>850</v>
      </c>
      <c r="H1410" s="2" t="s">
        <v>3887</v>
      </c>
      <c r="I1410" s="5"/>
      <c r="J1410" s="5"/>
      <c r="K1410" s="5"/>
      <c r="L1410" s="5">
        <f>MEDIAN(1,3)</f>
        <v>2</v>
      </c>
      <c r="M1410" s="7" t="s">
        <v>571</v>
      </c>
      <c r="N1410" s="5">
        <v>67</v>
      </c>
      <c r="O1410" s="5">
        <v>38</v>
      </c>
      <c r="P1410" s="5">
        <f xml:space="preserve"> (0.204*N1410) + (3.598*O1410) - 87.808</f>
        <v>62.583999999999989</v>
      </c>
      <c r="Q1410" s="2" t="s">
        <v>376</v>
      </c>
      <c r="R1410" s="5">
        <f>P1410*L1410</f>
        <v>125.16799999999998</v>
      </c>
      <c r="S1410" s="5"/>
      <c r="V1410" s="5"/>
      <c r="W1410" s="6" t="s">
        <v>2165</v>
      </c>
    </row>
    <row r="1411" spans="1:23" x14ac:dyDescent="0.15">
      <c r="A1411" s="2" t="s">
        <v>202</v>
      </c>
      <c r="B1411" s="2" t="s">
        <v>3934</v>
      </c>
      <c r="C1411" s="2" t="s">
        <v>956</v>
      </c>
      <c r="D1411" s="2" t="s">
        <v>766</v>
      </c>
      <c r="E1411" s="1" t="s">
        <v>961</v>
      </c>
      <c r="F1411" s="2" t="s">
        <v>26</v>
      </c>
      <c r="G1411" s="2">
        <v>-0.56999999999999995</v>
      </c>
      <c r="H1411" s="2" t="str">
        <f t="shared" si="47"/>
        <v>W</v>
      </c>
      <c r="I1411" s="5">
        <v>19.54</v>
      </c>
      <c r="J1411" s="5">
        <f xml:space="preserve"> 0.0002*(I1411*10)^2.94</f>
        <v>1087.2970262707315</v>
      </c>
      <c r="K1411" s="5"/>
      <c r="L1411" s="7"/>
      <c r="M1411" s="5" t="s">
        <v>571</v>
      </c>
      <c r="N1411" s="5"/>
      <c r="O1411" s="5"/>
      <c r="P1411" s="5"/>
      <c r="R1411" s="5"/>
      <c r="S1411" s="5"/>
      <c r="T1411" s="9"/>
      <c r="U1411" s="9"/>
      <c r="V1411" s="5"/>
      <c r="W1411" s="6" t="s">
        <v>2874</v>
      </c>
    </row>
    <row r="1412" spans="1:23" x14ac:dyDescent="0.15">
      <c r="A1412" s="2" t="s">
        <v>202</v>
      </c>
      <c r="B1412" s="2" t="s">
        <v>3934</v>
      </c>
      <c r="C1412" s="2" t="s">
        <v>956</v>
      </c>
      <c r="D1412" s="2" t="s">
        <v>587</v>
      </c>
      <c r="E1412" s="1" t="s">
        <v>3508</v>
      </c>
      <c r="F1412" s="2" t="s">
        <v>379</v>
      </c>
      <c r="G1412" s="2">
        <v>19.489999999999998</v>
      </c>
      <c r="H1412" s="2" t="str">
        <f t="shared" si="47"/>
        <v>W</v>
      </c>
      <c r="I1412" s="5">
        <v>11.8</v>
      </c>
      <c r="J1412" s="5">
        <v>201</v>
      </c>
      <c r="K1412" s="5"/>
      <c r="L1412" s="5"/>
      <c r="M1412" s="5" t="s">
        <v>571</v>
      </c>
      <c r="N1412" s="5"/>
      <c r="O1412" s="5"/>
      <c r="P1412" s="5"/>
      <c r="R1412" s="5"/>
      <c r="S1412" s="5"/>
      <c r="V1412" s="5"/>
      <c r="W1412" s="6" t="s">
        <v>2876</v>
      </c>
    </row>
    <row r="1413" spans="1:23" x14ac:dyDescent="0.15">
      <c r="A1413" s="2" t="s">
        <v>202</v>
      </c>
      <c r="B1413" s="2" t="s">
        <v>3934</v>
      </c>
      <c r="C1413" s="2" t="s">
        <v>956</v>
      </c>
      <c r="D1413" s="2" t="s">
        <v>587</v>
      </c>
      <c r="E1413" s="1" t="s">
        <v>3508</v>
      </c>
      <c r="F1413" s="2" t="s">
        <v>379</v>
      </c>
      <c r="G1413" s="2" t="s">
        <v>374</v>
      </c>
      <c r="H1413" s="2" t="str">
        <f t="shared" si="47"/>
        <v>C</v>
      </c>
      <c r="I1413" s="5">
        <v>12.6</v>
      </c>
      <c r="J1413" s="5">
        <f xml:space="preserve"> 5.7504*I1413^1.701</f>
        <v>427.9848073682839</v>
      </c>
      <c r="K1413" s="7"/>
      <c r="L1413" s="5"/>
      <c r="M1413" s="5" t="s">
        <v>571</v>
      </c>
      <c r="N1413" s="5"/>
      <c r="O1413" s="5"/>
      <c r="P1413" s="5"/>
      <c r="R1413" s="5"/>
      <c r="S1413" s="5"/>
      <c r="V1413" s="5"/>
      <c r="W1413" s="6" t="s">
        <v>2877</v>
      </c>
    </row>
    <row r="1414" spans="1:23" x14ac:dyDescent="0.15">
      <c r="A1414" s="2" t="s">
        <v>202</v>
      </c>
      <c r="B1414" s="2" t="s">
        <v>3934</v>
      </c>
      <c r="C1414" s="2" t="s">
        <v>956</v>
      </c>
      <c r="D1414" s="2" t="s">
        <v>587</v>
      </c>
      <c r="E1414" s="1" t="s">
        <v>3757</v>
      </c>
      <c r="F1414" s="2" t="s">
        <v>2275</v>
      </c>
      <c r="G1414" s="2">
        <v>19.25</v>
      </c>
      <c r="H1414" s="2" t="str">
        <f t="shared" si="47"/>
        <v>W</v>
      </c>
      <c r="I1414" s="5">
        <v>14.29</v>
      </c>
      <c r="J1414" s="5">
        <f xml:space="preserve"> 5.7504*I1414^1.701</f>
        <v>530.16112188341526</v>
      </c>
      <c r="K1414" s="5"/>
      <c r="L1414" s="5"/>
      <c r="M1414" s="5" t="s">
        <v>571</v>
      </c>
      <c r="N1414" s="5"/>
      <c r="O1414" s="5"/>
      <c r="P1414" s="5"/>
      <c r="R1414" s="5"/>
      <c r="S1414" s="5"/>
      <c r="V1414" s="5"/>
      <c r="W1414" s="6" t="s">
        <v>613</v>
      </c>
    </row>
    <row r="1415" spans="1:23" x14ac:dyDescent="0.15">
      <c r="A1415" s="2" t="s">
        <v>202</v>
      </c>
      <c r="B1415" s="2" t="s">
        <v>3934</v>
      </c>
      <c r="C1415" s="2" t="s">
        <v>956</v>
      </c>
      <c r="D1415" s="2" t="s">
        <v>587</v>
      </c>
      <c r="E1415" s="1" t="s">
        <v>3757</v>
      </c>
      <c r="F1415" s="2" t="s">
        <v>588</v>
      </c>
      <c r="G1415" s="2">
        <v>15.67</v>
      </c>
      <c r="H1415" s="2" t="str">
        <f t="shared" si="47"/>
        <v>W</v>
      </c>
      <c r="I1415" s="5">
        <v>12.9</v>
      </c>
      <c r="J1415" s="5">
        <f xml:space="preserve"> 5.7504*I1415^1.701</f>
        <v>445.46250265480853</v>
      </c>
      <c r="K1415" s="7"/>
      <c r="L1415" s="7">
        <v>1</v>
      </c>
      <c r="M1415" s="5" t="s">
        <v>571</v>
      </c>
      <c r="N1415" s="7">
        <v>59</v>
      </c>
      <c r="O1415" s="5">
        <v>28.9</v>
      </c>
      <c r="P1415" s="5">
        <v>29.6</v>
      </c>
      <c r="Q1415" s="2" t="s">
        <v>18</v>
      </c>
      <c r="R1415" s="5">
        <v>29.6</v>
      </c>
      <c r="S1415" s="5">
        <f>(R1415/J1415)*100</f>
        <v>6.64477926280974</v>
      </c>
      <c r="V1415" s="5"/>
      <c r="W1415" s="6" t="s">
        <v>2213</v>
      </c>
    </row>
    <row r="1416" spans="1:23" x14ac:dyDescent="0.15">
      <c r="A1416" s="2" t="s">
        <v>202</v>
      </c>
      <c r="B1416" s="2" t="s">
        <v>3934</v>
      </c>
      <c r="C1416" s="2" t="s">
        <v>956</v>
      </c>
      <c r="D1416" s="2" t="s">
        <v>587</v>
      </c>
      <c r="E1416" s="1" t="s">
        <v>3508</v>
      </c>
      <c r="F1416" s="2" t="s">
        <v>379</v>
      </c>
      <c r="G1416" s="2">
        <v>19.489999999999998</v>
      </c>
      <c r="H1416" s="2" t="str">
        <f t="shared" si="47"/>
        <v>W</v>
      </c>
      <c r="I1416" s="5">
        <v>17.899999999999999</v>
      </c>
      <c r="J1416" s="5">
        <f xml:space="preserve"> 5.7504*I1416^1.701</f>
        <v>777.68023458451751</v>
      </c>
      <c r="K1416" s="7">
        <f>MEDIAN(6,7)</f>
        <v>6.5</v>
      </c>
      <c r="L1416" s="5">
        <v>1</v>
      </c>
      <c r="M1416" s="5" t="s">
        <v>571</v>
      </c>
      <c r="N1416" s="5">
        <v>58</v>
      </c>
      <c r="O1416" s="5">
        <v>29</v>
      </c>
      <c r="P1416" s="5">
        <v>30.92</v>
      </c>
      <c r="Q1416" s="2" t="s">
        <v>376</v>
      </c>
      <c r="R1416" s="5">
        <v>30.92</v>
      </c>
      <c r="S1416" s="5">
        <f>(R1416/J1416)*100</f>
        <v>3.9759272031028643</v>
      </c>
      <c r="V1416" s="5"/>
      <c r="W1416" s="6" t="s">
        <v>2878</v>
      </c>
    </row>
    <row r="1417" spans="1:23" x14ac:dyDescent="0.15">
      <c r="A1417" s="2" t="s">
        <v>202</v>
      </c>
      <c r="B1417" s="2" t="s">
        <v>3934</v>
      </c>
      <c r="C1417" s="2" t="s">
        <v>956</v>
      </c>
      <c r="D1417" s="2" t="s">
        <v>587</v>
      </c>
      <c r="E1417" s="1" t="s">
        <v>3508</v>
      </c>
      <c r="F1417" s="2" t="s">
        <v>379</v>
      </c>
      <c r="G1417" s="2">
        <v>19.5</v>
      </c>
      <c r="H1417" s="2" t="str">
        <f t="shared" si="47"/>
        <v>W</v>
      </c>
      <c r="I1417" s="5">
        <v>12.8</v>
      </c>
      <c r="J1417" s="5">
        <v>280.83</v>
      </c>
      <c r="K1417" s="5"/>
      <c r="L1417" s="5"/>
      <c r="M1417" s="5" t="s">
        <v>571</v>
      </c>
      <c r="N1417" s="5"/>
      <c r="O1417" s="5"/>
      <c r="P1417" s="5"/>
      <c r="R1417" s="5"/>
      <c r="S1417" s="5"/>
      <c r="V1417" s="5"/>
      <c r="W1417" s="6" t="s">
        <v>2879</v>
      </c>
    </row>
    <row r="1418" spans="1:23" x14ac:dyDescent="0.15">
      <c r="A1418" s="2" t="s">
        <v>202</v>
      </c>
      <c r="B1418" s="2" t="s">
        <v>3936</v>
      </c>
      <c r="C1418" s="2" t="s">
        <v>3509</v>
      </c>
      <c r="D1418" s="2" t="s">
        <v>505</v>
      </c>
      <c r="E1418" s="1"/>
      <c r="F1418" s="2" t="s">
        <v>374</v>
      </c>
      <c r="G1418" s="2" t="s">
        <v>374</v>
      </c>
      <c r="H1418" s="2" t="str">
        <f t="shared" si="47"/>
        <v>C</v>
      </c>
      <c r="I1418" s="5"/>
      <c r="J1418" s="5"/>
      <c r="K1418" s="5"/>
      <c r="L1418" s="5"/>
      <c r="M1418" s="5" t="s">
        <v>571</v>
      </c>
      <c r="N1418" s="5">
        <v>47</v>
      </c>
      <c r="O1418" s="5">
        <v>22</v>
      </c>
      <c r="P1418" s="5">
        <f xml:space="preserve"> (0.374*N1418) + (0.888*O1418) - 22.424</f>
        <v>14.690000000000005</v>
      </c>
      <c r="Q1418" s="2" t="s">
        <v>376</v>
      </c>
      <c r="R1418" s="5"/>
      <c r="S1418" s="5"/>
      <c r="V1418" s="5"/>
      <c r="W1418" s="6" t="s">
        <v>2540</v>
      </c>
    </row>
    <row r="1419" spans="1:23" x14ac:dyDescent="0.15">
      <c r="A1419" s="2" t="s">
        <v>202</v>
      </c>
      <c r="B1419" s="2" t="s">
        <v>3936</v>
      </c>
      <c r="C1419" s="2" t="s">
        <v>3509</v>
      </c>
      <c r="D1419" s="2" t="s">
        <v>505</v>
      </c>
      <c r="E1419" s="1"/>
      <c r="F1419" s="2" t="s">
        <v>209</v>
      </c>
      <c r="G1419" s="2">
        <v>24.5</v>
      </c>
      <c r="H1419" s="2" t="str">
        <f t="shared" si="47"/>
        <v>W</v>
      </c>
      <c r="I1419" s="5"/>
      <c r="J1419" s="5"/>
      <c r="K1419" s="5"/>
      <c r="L1419" s="5">
        <v>2.2000000000000002</v>
      </c>
      <c r="M1419" s="5" t="s">
        <v>571</v>
      </c>
      <c r="N1419" s="5">
        <v>45.5</v>
      </c>
      <c r="O1419" s="5">
        <v>23.2</v>
      </c>
      <c r="P1419" s="5">
        <v>14.8</v>
      </c>
      <c r="Q1419" s="2" t="s">
        <v>18</v>
      </c>
      <c r="R1419" s="5">
        <v>32.56</v>
      </c>
      <c r="S1419" s="5"/>
      <c r="V1419" s="5"/>
      <c r="W1419" s="6" t="s">
        <v>2880</v>
      </c>
    </row>
    <row r="1420" spans="1:23" x14ac:dyDescent="0.15">
      <c r="A1420" s="2" t="s">
        <v>202</v>
      </c>
      <c r="B1420" s="2" t="s">
        <v>3936</v>
      </c>
      <c r="C1420" s="2" t="s">
        <v>3509</v>
      </c>
      <c r="D1420" s="2" t="s">
        <v>505</v>
      </c>
      <c r="E1420" s="1"/>
      <c r="F1420" s="2" t="s">
        <v>209</v>
      </c>
      <c r="G1420" s="2">
        <v>24.5</v>
      </c>
      <c r="H1420" s="2" t="str">
        <f t="shared" si="47"/>
        <v>W</v>
      </c>
      <c r="I1420" s="5">
        <v>13.94</v>
      </c>
      <c r="J1420" s="5">
        <f xml:space="preserve"> 0.000674*(I1420*10)^2.673</f>
        <v>363.30743927849863</v>
      </c>
      <c r="K1420" s="5"/>
      <c r="L1420" s="5">
        <v>2.1</v>
      </c>
      <c r="M1420" s="5" t="s">
        <v>571</v>
      </c>
      <c r="N1420" s="5">
        <v>47.02</v>
      </c>
      <c r="O1420" s="5">
        <v>23.09</v>
      </c>
      <c r="P1420" s="5">
        <v>15.67</v>
      </c>
      <c r="Q1420" s="2" t="s">
        <v>376</v>
      </c>
      <c r="R1420" s="5">
        <v>32.9</v>
      </c>
      <c r="S1420" s="5">
        <v>9.8699999999999992</v>
      </c>
      <c r="T1420" s="2">
        <v>1</v>
      </c>
      <c r="U1420" s="2" t="str">
        <f>IF(T1420&lt;=1, "1",IF(AND(T1420&gt;1,T1420&lt;4), "2-3", "+4"))</f>
        <v>1</v>
      </c>
      <c r="V1420" s="5">
        <f>S1420*T1420</f>
        <v>9.8699999999999992</v>
      </c>
      <c r="W1420" s="6" t="s">
        <v>2881</v>
      </c>
    </row>
    <row r="1421" spans="1:23" x14ac:dyDescent="0.15">
      <c r="A1421" s="2" t="s">
        <v>202</v>
      </c>
      <c r="B1421" s="2" t="s">
        <v>3936</v>
      </c>
      <c r="C1421" s="2" t="s">
        <v>3509</v>
      </c>
      <c r="D1421" s="2" t="s">
        <v>505</v>
      </c>
      <c r="E1421" s="1"/>
      <c r="F1421" s="2" t="s">
        <v>209</v>
      </c>
      <c r="G1421" s="2">
        <v>24</v>
      </c>
      <c r="H1421" s="2" t="str">
        <f t="shared" si="47"/>
        <v>W</v>
      </c>
      <c r="I1421" s="5">
        <v>13.63</v>
      </c>
      <c r="J1421" s="5">
        <v>329.6</v>
      </c>
      <c r="K1421" s="5"/>
      <c r="L1421" s="5">
        <v>2.2000000000000002</v>
      </c>
      <c r="M1421" s="5" t="s">
        <v>571</v>
      </c>
      <c r="N1421" s="5">
        <v>45.5</v>
      </c>
      <c r="O1421" s="5">
        <v>23.2</v>
      </c>
      <c r="P1421" s="5">
        <v>14.8</v>
      </c>
      <c r="Q1421" s="2" t="s">
        <v>18</v>
      </c>
      <c r="R1421" s="5">
        <f>P1421*L1421</f>
        <v>32.56</v>
      </c>
      <c r="S1421" s="5">
        <f>(R1421/J1421)*100</f>
        <v>9.8786407766990294</v>
      </c>
      <c r="V1421" s="5"/>
      <c r="W1421" s="6" t="s">
        <v>1749</v>
      </c>
    </row>
    <row r="1422" spans="1:23" ht="12.75" customHeight="1" x14ac:dyDescent="0.15">
      <c r="A1422" s="2" t="s">
        <v>202</v>
      </c>
      <c r="B1422" s="2" t="s">
        <v>3936</v>
      </c>
      <c r="C1422" s="2" t="s">
        <v>3509</v>
      </c>
      <c r="D1422" s="2" t="s">
        <v>505</v>
      </c>
      <c r="E1422" s="1"/>
      <c r="F1422" s="2" t="s">
        <v>374</v>
      </c>
      <c r="G1422" s="2" t="s">
        <v>374</v>
      </c>
      <c r="H1422" s="2" t="str">
        <f t="shared" si="47"/>
        <v>C</v>
      </c>
      <c r="I1422" s="5"/>
      <c r="J1422" s="5"/>
      <c r="K1422" s="5"/>
      <c r="L1422" s="7">
        <f>MEDIAN(1,2)</f>
        <v>1.5</v>
      </c>
      <c r="M1422" s="5" t="s">
        <v>571</v>
      </c>
      <c r="N1422" s="5">
        <f>MEDIAN(42,52)</f>
        <v>47</v>
      </c>
      <c r="O1422" s="5">
        <f>MEDIAN(17,23)</f>
        <v>20</v>
      </c>
      <c r="P1422" s="5"/>
      <c r="R1422" s="5"/>
      <c r="S1422" s="5"/>
      <c r="T1422" s="2">
        <v>1</v>
      </c>
      <c r="U1422" s="2" t="str">
        <f>IF(T1422&lt;=1, "1",IF(AND(T1422&gt;1,T1422&lt;4), "2-3", "+4"))</f>
        <v>1</v>
      </c>
      <c r="V1422" s="5"/>
      <c r="W1422" s="6" t="s">
        <v>3016</v>
      </c>
    </row>
    <row r="1423" spans="1:23" x14ac:dyDescent="0.15">
      <c r="A1423" s="2" t="s">
        <v>202</v>
      </c>
      <c r="B1423" s="2" t="s">
        <v>3936</v>
      </c>
      <c r="C1423" s="2" t="s">
        <v>3509</v>
      </c>
      <c r="D1423" s="2" t="s">
        <v>505</v>
      </c>
      <c r="E1423" s="1"/>
      <c r="F1423" s="2" t="s">
        <v>374</v>
      </c>
      <c r="G1423" s="2" t="s">
        <v>374</v>
      </c>
      <c r="H1423" s="2" t="str">
        <f t="shared" si="47"/>
        <v>C</v>
      </c>
      <c r="I1423" s="5">
        <f>EXP(LN(J1423/0.000674)/2.673)/10</f>
        <v>12.976401304209096</v>
      </c>
      <c r="J1423" s="5">
        <v>300</v>
      </c>
      <c r="K1423" s="5"/>
      <c r="L1423" s="7">
        <v>1</v>
      </c>
      <c r="M1423" s="5" t="s">
        <v>571</v>
      </c>
      <c r="N1423" s="5">
        <f>MEDIAN(42,52)</f>
        <v>47</v>
      </c>
      <c r="O1423" s="5">
        <f>MEDIAN(17,23)</f>
        <v>20</v>
      </c>
      <c r="P1423" s="5"/>
      <c r="R1423" s="5"/>
      <c r="S1423" s="5"/>
      <c r="V1423" s="5"/>
      <c r="W1423" s="6" t="s">
        <v>2001</v>
      </c>
    </row>
    <row r="1424" spans="1:23" x14ac:dyDescent="0.15">
      <c r="A1424" s="2" t="s">
        <v>202</v>
      </c>
      <c r="B1424" s="2" t="s">
        <v>3936</v>
      </c>
      <c r="C1424" s="2" t="s">
        <v>3509</v>
      </c>
      <c r="D1424" s="2" t="s">
        <v>389</v>
      </c>
      <c r="E1424" s="1"/>
      <c r="F1424" s="2" t="s">
        <v>209</v>
      </c>
      <c r="G1424" s="2" t="s">
        <v>374</v>
      </c>
      <c r="H1424" s="2" t="str">
        <f t="shared" si="47"/>
        <v>C</v>
      </c>
      <c r="I1424" s="5"/>
      <c r="J1424" s="5"/>
      <c r="K1424" s="5"/>
      <c r="L1424" s="5">
        <v>2.4700000000000002</v>
      </c>
      <c r="M1424" s="2" t="s">
        <v>571</v>
      </c>
      <c r="N1424" s="5">
        <v>42.9</v>
      </c>
      <c r="O1424" s="5">
        <v>22.1</v>
      </c>
      <c r="P1424" s="5">
        <v>12.8</v>
      </c>
      <c r="Q1424" s="2" t="s">
        <v>18</v>
      </c>
      <c r="R1424" s="5">
        <f>P1424*L1424</f>
        <v>31.616000000000003</v>
      </c>
      <c r="S1424" s="5"/>
      <c r="V1424" s="5"/>
      <c r="W1424" s="6" t="s">
        <v>2030</v>
      </c>
    </row>
    <row r="1425" spans="1:58" x14ac:dyDescent="0.15">
      <c r="A1425" s="2" t="s">
        <v>202</v>
      </c>
      <c r="B1425" s="2" t="s">
        <v>3936</v>
      </c>
      <c r="C1425" s="2" t="s">
        <v>3509</v>
      </c>
      <c r="D1425" s="2" t="s">
        <v>389</v>
      </c>
      <c r="E1425" s="1"/>
      <c r="F1425" s="2" t="s">
        <v>374</v>
      </c>
      <c r="G1425" s="2" t="s">
        <v>374</v>
      </c>
      <c r="H1425" s="2" t="str">
        <f t="shared" si="47"/>
        <v>C</v>
      </c>
      <c r="I1425" s="5">
        <v>14</v>
      </c>
      <c r="J1425" s="5">
        <v>484</v>
      </c>
      <c r="K1425" s="5"/>
      <c r="L1425" s="5">
        <v>2</v>
      </c>
      <c r="M1425" s="5" t="s">
        <v>571</v>
      </c>
      <c r="N1425" s="5">
        <v>47.75</v>
      </c>
      <c r="O1425" s="5">
        <v>24.5</v>
      </c>
      <c r="P1425" s="5">
        <v>18.75</v>
      </c>
      <c r="Q1425" s="2" t="s">
        <v>18</v>
      </c>
      <c r="R1425" s="5">
        <v>37.5</v>
      </c>
      <c r="S1425" s="5">
        <v>7.75</v>
      </c>
      <c r="T1425" s="5">
        <v>1</v>
      </c>
      <c r="U1425" s="2" t="str">
        <f>IF(T1425&lt;=1, "1",IF(AND(T1425&gt;1,T1425&lt;4), "2-3", "+4"))</f>
        <v>1</v>
      </c>
      <c r="V1425" s="5">
        <f>S1425*T1425</f>
        <v>7.75</v>
      </c>
      <c r="W1425" s="6" t="s">
        <v>2882</v>
      </c>
    </row>
    <row r="1426" spans="1:58" x14ac:dyDescent="0.15">
      <c r="A1426" s="2" t="s">
        <v>202</v>
      </c>
      <c r="B1426" s="2" t="s">
        <v>3936</v>
      </c>
      <c r="C1426" s="2" t="s">
        <v>3509</v>
      </c>
      <c r="D1426" s="2" t="s">
        <v>389</v>
      </c>
      <c r="E1426" s="1"/>
      <c r="F1426" s="2" t="s">
        <v>374</v>
      </c>
      <c r="G1426" s="2" t="s">
        <v>374</v>
      </c>
      <c r="H1426" s="2" t="str">
        <f t="shared" si="47"/>
        <v>C</v>
      </c>
      <c r="I1426" s="5"/>
      <c r="J1426" s="5"/>
      <c r="K1426" s="5"/>
      <c r="L1426" s="7">
        <f>MEDIAN(1,2)</f>
        <v>1.5</v>
      </c>
      <c r="M1426" s="5" t="s">
        <v>571</v>
      </c>
      <c r="N1426" s="5">
        <f>MEDIAN(42,56)</f>
        <v>49</v>
      </c>
      <c r="O1426" s="5">
        <f>MEDIAN(20,23)</f>
        <v>21.5</v>
      </c>
      <c r="P1426" s="5"/>
      <c r="R1426" s="5"/>
      <c r="S1426" s="5"/>
      <c r="V1426" s="5"/>
      <c r="W1426" s="6" t="s">
        <v>3016</v>
      </c>
    </row>
    <row r="1427" spans="1:58" ht="12.75" customHeight="1" x14ac:dyDescent="0.15">
      <c r="A1427" s="2" t="s">
        <v>202</v>
      </c>
      <c r="B1427" s="2" t="s">
        <v>3936</v>
      </c>
      <c r="C1427" s="2" t="s">
        <v>3509</v>
      </c>
      <c r="D1427" s="2" t="s">
        <v>389</v>
      </c>
      <c r="E1427" s="1"/>
      <c r="F1427" s="2" t="s">
        <v>374</v>
      </c>
      <c r="G1427" s="2" t="s">
        <v>374</v>
      </c>
      <c r="H1427" s="2" t="str">
        <f t="shared" si="47"/>
        <v>C</v>
      </c>
      <c r="I1427" s="5">
        <v>12.936</v>
      </c>
      <c r="J1427" s="5">
        <v>260</v>
      </c>
      <c r="K1427" s="5"/>
      <c r="L1427" s="7">
        <v>2</v>
      </c>
      <c r="M1427" s="5" t="s">
        <v>571</v>
      </c>
      <c r="N1427" s="5">
        <v>49</v>
      </c>
      <c r="O1427" s="5">
        <v>21.5</v>
      </c>
      <c r="P1427" s="5">
        <v>14.99</v>
      </c>
      <c r="Q1427" s="2" t="s">
        <v>376</v>
      </c>
      <c r="R1427" s="5">
        <f>P1427*L1427</f>
        <v>29.98</v>
      </c>
      <c r="S1427" s="5">
        <f>(R1427/J1427)*100</f>
        <v>11.530769230769231</v>
      </c>
      <c r="V1427" s="5"/>
      <c r="W1427" s="6" t="s">
        <v>2001</v>
      </c>
      <c r="X1427" s="24"/>
    </row>
    <row r="1428" spans="1:58" x14ac:dyDescent="0.15">
      <c r="A1428" s="2" t="s">
        <v>202</v>
      </c>
      <c r="B1428" s="2" t="s">
        <v>3936</v>
      </c>
      <c r="C1428" s="2" t="s">
        <v>3509</v>
      </c>
      <c r="D1428" s="2" t="s">
        <v>389</v>
      </c>
      <c r="E1428" s="1"/>
      <c r="F1428" s="2" t="s">
        <v>374</v>
      </c>
      <c r="G1428" s="2" t="s">
        <v>374</v>
      </c>
      <c r="H1428" s="2" t="str">
        <f t="shared" si="47"/>
        <v>C</v>
      </c>
      <c r="I1428" s="5"/>
      <c r="J1428" s="5"/>
      <c r="K1428" s="7"/>
      <c r="L1428" s="5">
        <v>2.67</v>
      </c>
      <c r="M1428" s="5" t="s">
        <v>571</v>
      </c>
      <c r="N1428" s="5"/>
      <c r="O1428" s="5"/>
      <c r="P1428" s="5"/>
      <c r="R1428" s="5"/>
      <c r="S1428" s="5"/>
      <c r="V1428" s="5"/>
      <c r="W1428" s="6" t="s">
        <v>2776</v>
      </c>
    </row>
    <row r="1429" spans="1:58" x14ac:dyDescent="0.15">
      <c r="A1429" s="1" t="s">
        <v>202</v>
      </c>
      <c r="B1429" s="2" t="s">
        <v>3936</v>
      </c>
      <c r="C1429" s="2" t="s">
        <v>3509</v>
      </c>
      <c r="D1429" s="1" t="s">
        <v>389</v>
      </c>
      <c r="E1429" s="1"/>
      <c r="F1429" s="1" t="s">
        <v>3999</v>
      </c>
      <c r="G1429" s="1">
        <v>18.2</v>
      </c>
      <c r="H1429" s="2" t="str">
        <f t="shared" si="47"/>
        <v>W</v>
      </c>
      <c r="I1429" s="8">
        <v>12.77</v>
      </c>
      <c r="J1429" s="8">
        <v>262.33999999999997</v>
      </c>
      <c r="K1429" s="8"/>
      <c r="L1429" s="8">
        <v>1.9</v>
      </c>
      <c r="M1429" s="5" t="s">
        <v>571</v>
      </c>
      <c r="N1429" s="8">
        <v>46.5</v>
      </c>
      <c r="O1429" s="8">
        <v>23.6</v>
      </c>
      <c r="P1429" s="8">
        <v>16.05</v>
      </c>
      <c r="Q1429" s="1" t="s">
        <v>18</v>
      </c>
      <c r="R1429" s="8">
        <v>30.495000000000001</v>
      </c>
      <c r="S1429" s="8">
        <v>11.62</v>
      </c>
      <c r="T1429" s="1">
        <v>1</v>
      </c>
      <c r="U1429" s="2" t="str">
        <f>IF(T1429&lt;=1, "1",IF(AND(T1429&gt;1,T1429&lt;4), "2-3", "+4"))</f>
        <v>1</v>
      </c>
      <c r="V1429" s="8"/>
      <c r="W1429" s="3" t="s">
        <v>4000</v>
      </c>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row>
    <row r="1430" spans="1:58" ht="12.75" customHeight="1" x14ac:dyDescent="0.15">
      <c r="A1430" s="2" t="s">
        <v>202</v>
      </c>
      <c r="B1430" s="2" t="s">
        <v>3936</v>
      </c>
      <c r="C1430" s="2" t="s">
        <v>3509</v>
      </c>
      <c r="D1430" s="2" t="s">
        <v>389</v>
      </c>
      <c r="E1430" s="1"/>
      <c r="F1430" s="2" t="s">
        <v>910</v>
      </c>
      <c r="G1430" s="2">
        <v>18</v>
      </c>
      <c r="H1430" s="2" t="str">
        <f t="shared" si="47"/>
        <v>W</v>
      </c>
      <c r="I1430" s="5">
        <v>13.053000000000001</v>
      </c>
      <c r="J1430" s="5">
        <f xml:space="preserve"> 0.0000008819*(I1430*10)^4.0004</f>
        <v>256.51158179406337</v>
      </c>
      <c r="K1430" s="7"/>
      <c r="L1430" s="5"/>
      <c r="M1430" s="5" t="s">
        <v>571</v>
      </c>
      <c r="N1430" s="5"/>
      <c r="O1430" s="5"/>
      <c r="P1430" s="5"/>
      <c r="R1430" s="5"/>
      <c r="S1430" s="5"/>
      <c r="V1430" s="5"/>
      <c r="W1430" s="6" t="s">
        <v>3568</v>
      </c>
    </row>
    <row r="1431" spans="1:58" x14ac:dyDescent="0.15">
      <c r="A1431" s="2" t="s">
        <v>202</v>
      </c>
      <c r="B1431" s="2" t="s">
        <v>3935</v>
      </c>
      <c r="C1431" s="2" t="s">
        <v>962</v>
      </c>
      <c r="D1431" s="2" t="s">
        <v>491</v>
      </c>
      <c r="E1431" s="1"/>
      <c r="F1431" s="2" t="s">
        <v>492</v>
      </c>
      <c r="G1431" s="2" t="s">
        <v>374</v>
      </c>
      <c r="H1431" s="2" t="str">
        <f t="shared" si="47"/>
        <v>C</v>
      </c>
      <c r="I1431" s="5">
        <v>16.8</v>
      </c>
      <c r="J1431" s="5">
        <f xml:space="preserve"> 0.26248*I1431^2.8095</f>
        <v>727.11423049065775</v>
      </c>
      <c r="K1431" s="5"/>
      <c r="L1431" s="5">
        <v>1</v>
      </c>
      <c r="M1431" s="5" t="s">
        <v>571</v>
      </c>
      <c r="N1431" s="5">
        <v>52.1</v>
      </c>
      <c r="O1431" s="5">
        <v>28</v>
      </c>
      <c r="P1431" s="5">
        <v>27.2</v>
      </c>
      <c r="Q1431" s="2" t="s">
        <v>18</v>
      </c>
      <c r="R1431" s="5">
        <v>27.2</v>
      </c>
      <c r="S1431" s="5">
        <f>(R1431/J1431)*100</f>
        <v>3.7408152473711591</v>
      </c>
      <c r="T1431" s="2">
        <v>3</v>
      </c>
      <c r="U1431" s="2" t="str">
        <f>IF(T1431&lt;=1, "1",IF(AND(T1431&gt;1,T1431&lt;4), "2-3", "+4"))</f>
        <v>2-3</v>
      </c>
      <c r="V1431" s="5">
        <f>S1431*3</f>
        <v>11.222445742113477</v>
      </c>
      <c r="W1431" s="6" t="s">
        <v>2883</v>
      </c>
    </row>
    <row r="1432" spans="1:58" x14ac:dyDescent="0.15">
      <c r="A1432" s="2" t="s">
        <v>202</v>
      </c>
      <c r="B1432" s="2" t="s">
        <v>3935</v>
      </c>
      <c r="C1432" s="2" t="s">
        <v>962</v>
      </c>
      <c r="D1432" s="2" t="s">
        <v>491</v>
      </c>
      <c r="E1432" s="1"/>
      <c r="F1432" s="2" t="s">
        <v>203</v>
      </c>
      <c r="G1432" s="2">
        <v>4</v>
      </c>
      <c r="H1432" s="2" t="str">
        <f t="shared" si="47"/>
        <v>W</v>
      </c>
      <c r="I1432" s="5">
        <v>18.600000000000001</v>
      </c>
      <c r="J1432" s="5">
        <f>940+R1432</f>
        <v>977</v>
      </c>
      <c r="K1432" s="5"/>
      <c r="L1432" s="5">
        <v>1.3</v>
      </c>
      <c r="M1432" s="2" t="s">
        <v>571</v>
      </c>
      <c r="N1432" s="5">
        <v>52</v>
      </c>
      <c r="O1432" s="5">
        <v>30</v>
      </c>
      <c r="P1432" s="5">
        <v>28.5</v>
      </c>
      <c r="Q1432" s="2" t="s">
        <v>18</v>
      </c>
      <c r="R1432" s="5">
        <v>37</v>
      </c>
      <c r="S1432" s="5">
        <f>(R1432/J1432)*100</f>
        <v>3.7871033776867966</v>
      </c>
      <c r="V1432" s="5"/>
      <c r="W1432" s="6" t="s">
        <v>2417</v>
      </c>
    </row>
    <row r="1433" spans="1:58" x14ac:dyDescent="0.15">
      <c r="A1433" s="1" t="s">
        <v>202</v>
      </c>
      <c r="B1433" s="2" t="s">
        <v>3935</v>
      </c>
      <c r="C1433" s="2" t="s">
        <v>962</v>
      </c>
      <c r="D1433" s="1" t="s">
        <v>491</v>
      </c>
      <c r="E1433" s="1"/>
      <c r="F1433" s="1" t="s">
        <v>374</v>
      </c>
      <c r="G1433" s="1" t="s">
        <v>374</v>
      </c>
      <c r="H1433" s="2" t="str">
        <f t="shared" si="47"/>
        <v>C</v>
      </c>
      <c r="I1433" s="8">
        <v>17.5</v>
      </c>
      <c r="J1433" s="8">
        <v>889</v>
      </c>
      <c r="K1433" s="8"/>
      <c r="L1433" s="8">
        <v>1</v>
      </c>
      <c r="M1433" s="1" t="s">
        <v>571</v>
      </c>
      <c r="N1433" s="8">
        <v>48.5</v>
      </c>
      <c r="O1433" s="8"/>
      <c r="P1433" s="8">
        <f xml:space="preserve"> (0.5771*N1433) - 3.171</f>
        <v>24.818349999999999</v>
      </c>
      <c r="Q1433" s="1" t="s">
        <v>376</v>
      </c>
      <c r="R1433" s="8">
        <f>P1433*L1433</f>
        <v>24.818349999999999</v>
      </c>
      <c r="S1433" s="5">
        <f>(R1433/J1433)*100</f>
        <v>2.7917154105736781</v>
      </c>
      <c r="T1433" s="1" t="s">
        <v>634</v>
      </c>
      <c r="U1433" s="40" t="s">
        <v>4047</v>
      </c>
      <c r="V1433" s="5">
        <f>S1433*4</f>
        <v>11.166861642294712</v>
      </c>
      <c r="W1433" s="6" t="s">
        <v>3621</v>
      </c>
    </row>
    <row r="1434" spans="1:58" x14ac:dyDescent="0.15">
      <c r="A1434" s="2" t="s">
        <v>202</v>
      </c>
      <c r="B1434" s="2" t="s">
        <v>3935</v>
      </c>
      <c r="C1434" s="2" t="s">
        <v>962</v>
      </c>
      <c r="D1434" s="2" t="s">
        <v>491</v>
      </c>
      <c r="E1434" s="1"/>
      <c r="F1434" s="2" t="s">
        <v>374</v>
      </c>
      <c r="G1434" s="2" t="s">
        <v>374</v>
      </c>
      <c r="H1434" s="2" t="str">
        <f t="shared" si="47"/>
        <v>C</v>
      </c>
      <c r="I1434" s="5"/>
      <c r="J1434" s="5"/>
      <c r="K1434" s="7"/>
      <c r="L1434" s="5">
        <v>1</v>
      </c>
      <c r="M1434" s="5" t="s">
        <v>571</v>
      </c>
      <c r="N1434" s="5">
        <v>52.04</v>
      </c>
      <c r="O1434" s="5">
        <v>26.96</v>
      </c>
      <c r="P1434" s="5">
        <v>26.85</v>
      </c>
      <c r="Q1434" s="2" t="s">
        <v>18</v>
      </c>
      <c r="R1434" s="5">
        <v>26.85</v>
      </c>
      <c r="S1434" s="5"/>
      <c r="T1434" s="9">
        <f>MEDIAN(3,4)</f>
        <v>3.5</v>
      </c>
      <c r="U1434" s="2" t="str">
        <f>IF(T1434&lt;=1, "1",IF(AND(T1434&gt;1,T1434&lt;4), "2-3", "+4"))</f>
        <v>2-3</v>
      </c>
      <c r="V1434" s="5"/>
      <c r="W1434" s="6" t="s">
        <v>2001</v>
      </c>
    </row>
    <row r="1435" spans="1:58" x14ac:dyDescent="0.15">
      <c r="A1435" s="2" t="s">
        <v>202</v>
      </c>
      <c r="B1435" s="2" t="s">
        <v>3935</v>
      </c>
      <c r="C1435" s="2" t="s">
        <v>962</v>
      </c>
      <c r="D1435" s="2" t="s">
        <v>767</v>
      </c>
      <c r="E1435" s="1"/>
      <c r="F1435" s="2" t="s">
        <v>220</v>
      </c>
      <c r="G1435" s="2">
        <v>10</v>
      </c>
      <c r="H1435" s="2" t="str">
        <f t="shared" si="47"/>
        <v>W</v>
      </c>
      <c r="I1435" s="5">
        <v>19.059999999999999</v>
      </c>
      <c r="J1435" s="5">
        <v>1081.0999999999999</v>
      </c>
      <c r="K1435" s="5"/>
      <c r="L1435" s="5">
        <v>1.5</v>
      </c>
      <c r="M1435" s="2" t="s">
        <v>571</v>
      </c>
      <c r="N1435" s="5">
        <v>49.6</v>
      </c>
      <c r="O1435" s="5">
        <v>26.5</v>
      </c>
      <c r="P1435" s="5">
        <v>24</v>
      </c>
      <c r="Q1435" s="2" t="s">
        <v>18</v>
      </c>
      <c r="R1435" s="5">
        <f>L1435*P1435</f>
        <v>36</v>
      </c>
      <c r="S1435" s="5">
        <f>(R1435/J1435)*100</f>
        <v>3.3299417260197952</v>
      </c>
      <c r="V1435" s="5"/>
      <c r="W1435" s="6" t="s">
        <v>2031</v>
      </c>
    </row>
    <row r="1436" spans="1:58" x14ac:dyDescent="0.15">
      <c r="A1436" s="2" t="s">
        <v>202</v>
      </c>
      <c r="B1436" s="2" t="s">
        <v>3935</v>
      </c>
      <c r="C1436" s="2" t="s">
        <v>962</v>
      </c>
      <c r="D1436" s="2" t="s">
        <v>767</v>
      </c>
      <c r="E1436" s="1"/>
      <c r="F1436" s="2" t="s">
        <v>374</v>
      </c>
      <c r="G1436" s="2" t="s">
        <v>374</v>
      </c>
      <c r="H1436" s="2" t="str">
        <f t="shared" si="47"/>
        <v>C</v>
      </c>
      <c r="I1436" s="5"/>
      <c r="J1436" s="5"/>
      <c r="K1436" s="7">
        <v>8</v>
      </c>
      <c r="L1436" s="5"/>
      <c r="M1436" s="5" t="s">
        <v>571</v>
      </c>
      <c r="N1436" s="5">
        <v>49.6</v>
      </c>
      <c r="O1436" s="5">
        <v>26.5</v>
      </c>
      <c r="P1436" s="5">
        <v>24</v>
      </c>
      <c r="Q1436" s="2" t="s">
        <v>18</v>
      </c>
      <c r="R1436" s="5"/>
      <c r="S1436" s="5"/>
      <c r="V1436" s="5"/>
      <c r="W1436" s="6" t="s">
        <v>2884</v>
      </c>
    </row>
    <row r="1437" spans="1:58" x14ac:dyDescent="0.15">
      <c r="A1437" s="2" t="s">
        <v>202</v>
      </c>
      <c r="B1437" s="2" t="s">
        <v>3935</v>
      </c>
      <c r="C1437" s="2" t="s">
        <v>962</v>
      </c>
      <c r="D1437" s="2" t="s">
        <v>767</v>
      </c>
      <c r="E1437" s="1"/>
      <c r="F1437" s="2" t="s">
        <v>2276</v>
      </c>
      <c r="G1437" s="2" t="s">
        <v>374</v>
      </c>
      <c r="H1437" s="2" t="str">
        <f t="shared" si="47"/>
        <v>C</v>
      </c>
      <c r="I1437" s="5">
        <v>19.899999999999999</v>
      </c>
      <c r="J1437" s="5">
        <v>1190.46</v>
      </c>
      <c r="K1437" s="5"/>
      <c r="L1437" s="5">
        <v>1</v>
      </c>
      <c r="M1437" s="5" t="s">
        <v>571</v>
      </c>
      <c r="N1437" s="5">
        <v>50.35</v>
      </c>
      <c r="O1437" s="5">
        <v>28.75</v>
      </c>
      <c r="P1437" s="5">
        <v>26.8</v>
      </c>
      <c r="Q1437" s="2" t="s">
        <v>18</v>
      </c>
      <c r="R1437" s="5">
        <v>26.8</v>
      </c>
      <c r="S1437" s="5">
        <f>(R1437/J1437)*100</f>
        <v>2.2512306167363874</v>
      </c>
      <c r="V1437" s="5"/>
      <c r="W1437" s="6" t="s">
        <v>3649</v>
      </c>
    </row>
    <row r="1438" spans="1:58" x14ac:dyDescent="0.15">
      <c r="A1438" s="2" t="s">
        <v>202</v>
      </c>
      <c r="B1438" s="2" t="s">
        <v>3936</v>
      </c>
      <c r="C1438" s="2" t="s">
        <v>3510</v>
      </c>
      <c r="D1438" s="2" t="s">
        <v>592</v>
      </c>
      <c r="E1438" s="1"/>
      <c r="F1438" s="2" t="s">
        <v>593</v>
      </c>
      <c r="G1438" s="2">
        <v>10.31</v>
      </c>
      <c r="H1438" s="2" t="str">
        <f t="shared" si="47"/>
        <v>W</v>
      </c>
      <c r="I1438" s="5"/>
      <c r="J1438" s="5"/>
      <c r="K1438" s="5"/>
      <c r="L1438" s="5">
        <v>2</v>
      </c>
      <c r="M1438" s="5" t="s">
        <v>571</v>
      </c>
      <c r="N1438" s="5">
        <v>44.5</v>
      </c>
      <c r="O1438" s="5">
        <v>23</v>
      </c>
      <c r="P1438" s="5">
        <f xml:space="preserve"> (0.374*N1438) + (0.888*O1438) - 22.424</f>
        <v>14.643000000000001</v>
      </c>
      <c r="Q1438" s="2" t="s">
        <v>376</v>
      </c>
      <c r="R1438" s="5">
        <f>P1438*L1438</f>
        <v>29.286000000000001</v>
      </c>
      <c r="S1438" s="5"/>
      <c r="V1438" s="5"/>
      <c r="W1438" s="6" t="s">
        <v>2885</v>
      </c>
    </row>
    <row r="1439" spans="1:58" x14ac:dyDescent="0.15">
      <c r="A1439" s="2" t="s">
        <v>202</v>
      </c>
      <c r="B1439" s="2" t="s">
        <v>3936</v>
      </c>
      <c r="C1439" s="2" t="s">
        <v>3510</v>
      </c>
      <c r="D1439" s="2" t="s">
        <v>592</v>
      </c>
      <c r="E1439" s="1"/>
      <c r="F1439" s="2" t="s">
        <v>204</v>
      </c>
      <c r="G1439" s="2">
        <v>11</v>
      </c>
      <c r="H1439" s="2" t="str">
        <f t="shared" si="47"/>
        <v>W</v>
      </c>
      <c r="I1439" s="5">
        <v>12.1</v>
      </c>
      <c r="J1439" s="5">
        <f xml:space="preserve"> 0.0003588*(I1439*10)^2.7564</f>
        <v>197.6250665153668</v>
      </c>
      <c r="K1439" s="5"/>
      <c r="L1439" s="5">
        <v>2</v>
      </c>
      <c r="M1439" s="2" t="s">
        <v>571</v>
      </c>
      <c r="N1439" s="5">
        <v>44.5</v>
      </c>
      <c r="O1439" s="5">
        <v>23</v>
      </c>
      <c r="P1439" s="5">
        <v>15.25</v>
      </c>
      <c r="Q1439" s="2" t="s">
        <v>18</v>
      </c>
      <c r="R1439" s="5">
        <v>30.5</v>
      </c>
      <c r="S1439" s="5">
        <f>(R1439/J1439)*100</f>
        <v>15.433264887796206</v>
      </c>
      <c r="V1439" s="5"/>
      <c r="W1439" s="6" t="s">
        <v>1997</v>
      </c>
    </row>
    <row r="1440" spans="1:58" x14ac:dyDescent="0.15">
      <c r="A1440" s="2" t="s">
        <v>202</v>
      </c>
      <c r="B1440" s="2" t="s">
        <v>3936</v>
      </c>
      <c r="C1440" s="2" t="s">
        <v>3510</v>
      </c>
      <c r="D1440" s="2" t="s">
        <v>592</v>
      </c>
      <c r="E1440" s="1"/>
      <c r="F1440" s="2" t="s">
        <v>204</v>
      </c>
      <c r="H1440" s="2" t="s">
        <v>3887</v>
      </c>
      <c r="I1440" s="5">
        <v>11.69</v>
      </c>
      <c r="J1440" s="5">
        <v>190.9</v>
      </c>
      <c r="K1440" s="5"/>
      <c r="L1440" s="5">
        <v>2</v>
      </c>
      <c r="M1440" s="2" t="s">
        <v>571</v>
      </c>
      <c r="N1440" s="5">
        <v>43.87</v>
      </c>
      <c r="O1440" s="5">
        <v>22.85</v>
      </c>
      <c r="P1440" s="5">
        <v>15.74</v>
      </c>
      <c r="Q1440" s="2" t="s">
        <v>18</v>
      </c>
      <c r="R1440" s="5">
        <f>P1440*L1440</f>
        <v>31.48</v>
      </c>
      <c r="S1440" s="5">
        <v>13</v>
      </c>
      <c r="V1440" s="5"/>
      <c r="W1440" s="6" t="s">
        <v>2032</v>
      </c>
    </row>
    <row r="1441" spans="1:23" x14ac:dyDescent="0.15">
      <c r="A1441" s="2" t="s">
        <v>221</v>
      </c>
      <c r="B1441" s="2" t="s">
        <v>3931</v>
      </c>
      <c r="C1441" s="2" t="s">
        <v>3511</v>
      </c>
      <c r="D1441" s="2" t="s">
        <v>622</v>
      </c>
      <c r="E1441" s="1"/>
      <c r="F1441" s="2" t="s">
        <v>374</v>
      </c>
      <c r="G1441" s="2" t="s">
        <v>374</v>
      </c>
      <c r="H1441" s="2" t="str">
        <f t="shared" si="47"/>
        <v>C</v>
      </c>
      <c r="I1441" s="5">
        <v>14.5</v>
      </c>
      <c r="J1441" s="5">
        <v>760</v>
      </c>
      <c r="K1441" s="5"/>
      <c r="L1441" s="5">
        <v>4.67</v>
      </c>
      <c r="M1441" s="5" t="s">
        <v>571</v>
      </c>
      <c r="N1441" s="5"/>
      <c r="O1441" s="5"/>
      <c r="P1441" s="5"/>
      <c r="R1441" s="5"/>
      <c r="S1441" s="5"/>
      <c r="T1441" s="2">
        <v>3</v>
      </c>
      <c r="U1441" s="2" t="str">
        <f>IF(T1441&lt;=1, "1",IF(AND(T1441&gt;1,T1441&lt;4), "2-3", "+4"))</f>
        <v>2-3</v>
      </c>
      <c r="V1441" s="5"/>
      <c r="W1441" s="6" t="s">
        <v>2887</v>
      </c>
    </row>
    <row r="1442" spans="1:23" x14ac:dyDescent="0.15">
      <c r="A1442" s="2" t="s">
        <v>221</v>
      </c>
      <c r="B1442" s="2" t="s">
        <v>3931</v>
      </c>
      <c r="C1442" s="2" t="s">
        <v>3511</v>
      </c>
      <c r="D1442" s="2" t="s">
        <v>622</v>
      </c>
      <c r="E1442" s="1"/>
      <c r="F1442" s="2" t="s">
        <v>92</v>
      </c>
      <c r="G1442" s="2">
        <v>18.670000000000002</v>
      </c>
      <c r="H1442" s="2" t="str">
        <f t="shared" si="47"/>
        <v>W</v>
      </c>
      <c r="I1442" s="5">
        <v>11.21</v>
      </c>
      <c r="J1442" s="5">
        <f xml:space="preserve"> 0.3276*I1442^2.738</f>
        <v>244.9988582017771</v>
      </c>
      <c r="K1442" s="7">
        <f>MEDIAN(4,5)</f>
        <v>4.5</v>
      </c>
      <c r="L1442" s="5">
        <v>3</v>
      </c>
      <c r="M1442" s="5" t="s">
        <v>571</v>
      </c>
      <c r="N1442" s="5">
        <v>31.3</v>
      </c>
      <c r="O1442" s="5">
        <v>17.5</v>
      </c>
      <c r="P1442" s="5">
        <v>6.1</v>
      </c>
      <c r="Q1442" s="2" t="s">
        <v>18</v>
      </c>
      <c r="R1442" s="5">
        <v>18.3</v>
      </c>
      <c r="S1442" s="5">
        <f>(R1442/J1442)*100</f>
        <v>7.4694225656057611</v>
      </c>
      <c r="V1442" s="5"/>
      <c r="W1442" s="6" t="s">
        <v>2886</v>
      </c>
    </row>
    <row r="1443" spans="1:23" x14ac:dyDescent="0.15">
      <c r="A1443" s="2" t="s">
        <v>221</v>
      </c>
      <c r="B1443" s="2" t="s">
        <v>3931</v>
      </c>
      <c r="C1443" s="2" t="s">
        <v>3511</v>
      </c>
      <c r="D1443" s="2" t="s">
        <v>622</v>
      </c>
      <c r="E1443" s="1"/>
      <c r="F1443" s="2" t="s">
        <v>92</v>
      </c>
      <c r="G1443" s="2">
        <v>18.63</v>
      </c>
      <c r="H1443" s="2" t="str">
        <f t="shared" ref="H1443:H1511" si="48">IF(G1443="captive","C","W")</f>
        <v>W</v>
      </c>
      <c r="I1443" s="5">
        <v>10.91</v>
      </c>
      <c r="J1443" s="5">
        <f xml:space="preserve"> 0.3276*I1443^2.738</f>
        <v>227.46158454101777</v>
      </c>
      <c r="K1443" s="5"/>
      <c r="L1443" s="5">
        <v>2.4</v>
      </c>
      <c r="M1443" s="7" t="s">
        <v>571</v>
      </c>
      <c r="N1443" s="5">
        <v>30.5</v>
      </c>
      <c r="O1443" s="5">
        <v>17.5</v>
      </c>
      <c r="P1443" s="5">
        <v>6</v>
      </c>
      <c r="Q1443" s="2" t="s">
        <v>18</v>
      </c>
      <c r="R1443" s="5">
        <f>P1443*L1443</f>
        <v>14.399999999999999</v>
      </c>
      <c r="S1443" s="5">
        <f>(R1443/J1443)*100</f>
        <v>6.3307393329985668</v>
      </c>
      <c r="T1443" s="5"/>
      <c r="U1443" s="5"/>
      <c r="V1443" s="5"/>
      <c r="W1443" s="6" t="s">
        <v>2888</v>
      </c>
    </row>
    <row r="1444" spans="1:23" x14ac:dyDescent="0.15">
      <c r="A1444" s="2" t="s">
        <v>221</v>
      </c>
      <c r="B1444" s="2" t="s">
        <v>3931</v>
      </c>
      <c r="C1444" s="2" t="s">
        <v>3511</v>
      </c>
      <c r="D1444" s="2" t="s">
        <v>622</v>
      </c>
      <c r="E1444" s="1"/>
      <c r="F1444" s="2" t="s">
        <v>374</v>
      </c>
      <c r="G1444" s="2" t="s">
        <v>374</v>
      </c>
      <c r="H1444" s="2" t="str">
        <f t="shared" si="48"/>
        <v>C</v>
      </c>
      <c r="I1444" s="5">
        <v>11.8</v>
      </c>
      <c r="J1444" s="5">
        <f xml:space="preserve"> 0.3276*I1444^2.738</f>
        <v>281.94008678771206</v>
      </c>
      <c r="K1444" s="5"/>
      <c r="L1444" s="5">
        <v>3</v>
      </c>
      <c r="M1444" s="5" t="s">
        <v>571</v>
      </c>
      <c r="N1444" s="5"/>
      <c r="O1444" s="5"/>
      <c r="P1444" s="5"/>
      <c r="R1444" s="5"/>
      <c r="S1444" s="5"/>
      <c r="V1444" s="5"/>
      <c r="W1444" s="6" t="s">
        <v>2889</v>
      </c>
    </row>
    <row r="1445" spans="1:23" x14ac:dyDescent="0.15">
      <c r="A1445" s="2" t="s">
        <v>221</v>
      </c>
      <c r="B1445" s="2" t="s">
        <v>3931</v>
      </c>
      <c r="C1445" s="2" t="s">
        <v>3511</v>
      </c>
      <c r="D1445" s="2" t="s">
        <v>622</v>
      </c>
      <c r="E1445" s="1"/>
      <c r="F1445" s="2" t="s">
        <v>92</v>
      </c>
      <c r="G1445" s="2">
        <v>18.63</v>
      </c>
      <c r="H1445" s="2" t="str">
        <f t="shared" si="48"/>
        <v>W</v>
      </c>
      <c r="I1445" s="5">
        <v>10.6</v>
      </c>
      <c r="J1445" s="5">
        <v>194</v>
      </c>
      <c r="K1445" s="5"/>
      <c r="L1445" s="5">
        <v>2.4</v>
      </c>
      <c r="M1445" s="7" t="s">
        <v>571</v>
      </c>
      <c r="N1445" s="5">
        <v>30.7</v>
      </c>
      <c r="O1445" s="5">
        <v>17.600000000000001</v>
      </c>
      <c r="P1445" s="5">
        <v>6</v>
      </c>
      <c r="Q1445" s="2" t="s">
        <v>18</v>
      </c>
      <c r="R1445" s="5">
        <v>14.4</v>
      </c>
      <c r="S1445" s="5">
        <v>7.42</v>
      </c>
      <c r="T1445" s="5">
        <v>2.5</v>
      </c>
      <c r="U1445" s="2" t="str">
        <f>IF(T1445&lt;=1, "1",IF(AND(T1445&gt;1,T1445&lt;4), "2-3", "+4"))</f>
        <v>2-3</v>
      </c>
      <c r="V1445" s="5">
        <f>S1445*T1445</f>
        <v>18.55</v>
      </c>
      <c r="W1445" s="6" t="s">
        <v>2213</v>
      </c>
    </row>
    <row r="1446" spans="1:23" x14ac:dyDescent="0.15">
      <c r="A1446" s="1" t="s">
        <v>221</v>
      </c>
      <c r="B1446" s="2" t="s">
        <v>3931</v>
      </c>
      <c r="C1446" s="2" t="s">
        <v>3511</v>
      </c>
      <c r="D1446" s="1" t="s">
        <v>622</v>
      </c>
      <c r="E1446" s="1"/>
      <c r="F1446" s="1" t="s">
        <v>374</v>
      </c>
      <c r="G1446" s="1" t="s">
        <v>374</v>
      </c>
      <c r="H1446" s="2" t="str">
        <f t="shared" si="48"/>
        <v>C</v>
      </c>
      <c r="I1446" s="8">
        <v>13.4</v>
      </c>
      <c r="J1446" s="8">
        <v>480</v>
      </c>
      <c r="K1446" s="8"/>
      <c r="L1446" s="8">
        <v>4</v>
      </c>
      <c r="M1446" s="7" t="s">
        <v>571</v>
      </c>
      <c r="N1446" s="8"/>
      <c r="O1446" s="8"/>
      <c r="P1446" s="8"/>
      <c r="Q1446" s="1"/>
      <c r="R1446" s="8"/>
      <c r="S1446" s="8"/>
      <c r="T1446" s="1">
        <v>2</v>
      </c>
      <c r="U1446" s="2" t="str">
        <f>IF(T1446&lt;=1, "1",IF(AND(T1446&gt;1,T1446&lt;4), "2-3", "+4"))</f>
        <v>2-3</v>
      </c>
      <c r="V1446" s="8"/>
      <c r="W1446" s="6" t="s">
        <v>3595</v>
      </c>
    </row>
    <row r="1447" spans="1:23" x14ac:dyDescent="0.15">
      <c r="A1447" s="2" t="s">
        <v>221</v>
      </c>
      <c r="B1447" s="2" t="s">
        <v>3931</v>
      </c>
      <c r="C1447" s="2" t="s">
        <v>3511</v>
      </c>
      <c r="D1447" s="2" t="s">
        <v>622</v>
      </c>
      <c r="E1447" s="1"/>
      <c r="F1447" s="2" t="s">
        <v>374</v>
      </c>
      <c r="G1447" s="2" t="s">
        <v>374</v>
      </c>
      <c r="H1447" s="2" t="str">
        <f t="shared" si="48"/>
        <v>C</v>
      </c>
      <c r="I1447" s="5">
        <v>12.5</v>
      </c>
      <c r="J1447" s="5">
        <v>580</v>
      </c>
      <c r="K1447" s="5"/>
      <c r="L1447" s="5">
        <v>4</v>
      </c>
      <c r="M1447" s="7" t="s">
        <v>571</v>
      </c>
      <c r="N1447" s="5">
        <v>34</v>
      </c>
      <c r="O1447" s="5">
        <v>19</v>
      </c>
      <c r="P1447" s="5">
        <f xml:space="preserve"> 0.218*N1447 +0.696*O1447 - 13.083</f>
        <v>7.552999999999999</v>
      </c>
      <c r="Q1447" s="2" t="s">
        <v>376</v>
      </c>
      <c r="R1447" s="5">
        <f>P1447*L1447</f>
        <v>30.211999999999996</v>
      </c>
      <c r="S1447" s="5">
        <f>(R1447/J1447)*100</f>
        <v>5.2089655172413787</v>
      </c>
      <c r="V1447" s="5"/>
      <c r="W1447" s="6" t="s">
        <v>2890</v>
      </c>
    </row>
    <row r="1448" spans="1:23" x14ac:dyDescent="0.15">
      <c r="A1448" s="2" t="s">
        <v>221</v>
      </c>
      <c r="B1448" s="2" t="s">
        <v>3931</v>
      </c>
      <c r="C1448" s="2" t="s">
        <v>3511</v>
      </c>
      <c r="D1448" s="2" t="s">
        <v>622</v>
      </c>
      <c r="E1448" s="1"/>
      <c r="F1448" s="2" t="s">
        <v>92</v>
      </c>
      <c r="G1448" s="2">
        <v>18.63</v>
      </c>
      <c r="H1448" s="2" t="str">
        <f t="shared" si="48"/>
        <v>W</v>
      </c>
      <c r="I1448" s="5"/>
      <c r="J1448" s="5"/>
      <c r="K1448" s="5"/>
      <c r="L1448" s="5">
        <v>2.8</v>
      </c>
      <c r="M1448" s="7" t="s">
        <v>571</v>
      </c>
      <c r="N1448" s="5"/>
      <c r="O1448" s="5"/>
      <c r="P1448" s="5"/>
      <c r="R1448" s="5"/>
      <c r="S1448" s="5"/>
      <c r="T1448" s="5"/>
      <c r="U1448" s="5"/>
      <c r="V1448" s="5"/>
      <c r="W1448" s="6" t="s">
        <v>2891</v>
      </c>
    </row>
    <row r="1449" spans="1:23" x14ac:dyDescent="0.15">
      <c r="A1449" s="2" t="s">
        <v>221</v>
      </c>
      <c r="B1449" s="2" t="s">
        <v>3930</v>
      </c>
      <c r="C1449" s="2" t="s">
        <v>27</v>
      </c>
      <c r="D1449" s="2" t="s">
        <v>768</v>
      </c>
      <c r="E1449" s="1"/>
      <c r="F1449" s="2" t="s">
        <v>222</v>
      </c>
      <c r="G1449" s="2">
        <v>16.5</v>
      </c>
      <c r="H1449" s="2" t="str">
        <f t="shared" si="48"/>
        <v>W</v>
      </c>
      <c r="I1449" s="5">
        <v>11.86</v>
      </c>
      <c r="J1449" s="5">
        <f xml:space="preserve"> 0.1153*(I1449^3.006)</f>
        <v>195.22160659228771</v>
      </c>
      <c r="K1449" s="5"/>
      <c r="L1449" s="5">
        <v>3</v>
      </c>
      <c r="M1449" s="2" t="s">
        <v>571</v>
      </c>
      <c r="N1449" s="5">
        <v>30.5</v>
      </c>
      <c r="O1449" s="5">
        <v>17</v>
      </c>
      <c r="P1449" s="5">
        <f xml:space="preserve"> 0.218*N1449 +0.696*O1449 - 13.083</f>
        <v>5.3979999999999979</v>
      </c>
      <c r="Q1449" s="2" t="s">
        <v>376</v>
      </c>
      <c r="R1449" s="5">
        <f>P1449*L1449</f>
        <v>16.193999999999996</v>
      </c>
      <c r="S1449" s="5">
        <f>0.0965*100</f>
        <v>9.65</v>
      </c>
      <c r="V1449" s="5"/>
      <c r="W1449" s="6" t="s">
        <v>1899</v>
      </c>
    </row>
    <row r="1450" spans="1:23" x14ac:dyDescent="0.15">
      <c r="A1450" s="2" t="s">
        <v>221</v>
      </c>
      <c r="B1450" s="2" t="s">
        <v>3930</v>
      </c>
      <c r="C1450" s="2" t="s">
        <v>27</v>
      </c>
      <c r="D1450" s="2" t="s">
        <v>623</v>
      </c>
      <c r="E1450" s="1"/>
      <c r="F1450" s="2" t="s">
        <v>502</v>
      </c>
      <c r="G1450" s="2">
        <v>17.5</v>
      </c>
      <c r="H1450" s="2" t="str">
        <f t="shared" si="48"/>
        <v>W</v>
      </c>
      <c r="I1450" s="5">
        <v>8.875</v>
      </c>
      <c r="J1450" s="5">
        <v>95.67</v>
      </c>
      <c r="K1450" s="5"/>
      <c r="L1450" s="5">
        <v>1</v>
      </c>
      <c r="M1450" s="5" t="s">
        <v>571</v>
      </c>
      <c r="N1450" s="5">
        <v>32.4</v>
      </c>
      <c r="O1450" s="5">
        <v>16</v>
      </c>
      <c r="P1450" s="5">
        <v>5.1100000000000003</v>
      </c>
      <c r="Q1450" s="2" t="s">
        <v>376</v>
      </c>
      <c r="R1450" s="5">
        <v>5.1100000000000003</v>
      </c>
      <c r="S1450" s="5">
        <v>5.35</v>
      </c>
      <c r="V1450" s="5"/>
      <c r="W1450" s="6" t="s">
        <v>909</v>
      </c>
    </row>
    <row r="1451" spans="1:23" x14ac:dyDescent="0.15">
      <c r="A1451" s="2" t="s">
        <v>221</v>
      </c>
      <c r="B1451" s="2" t="s">
        <v>3930</v>
      </c>
      <c r="C1451" s="2" t="s">
        <v>27</v>
      </c>
      <c r="D1451" s="2" t="s">
        <v>623</v>
      </c>
      <c r="E1451" s="1"/>
      <c r="F1451" s="2" t="s">
        <v>379</v>
      </c>
      <c r="G1451" s="2">
        <v>18.63</v>
      </c>
      <c r="H1451" s="2" t="str">
        <f t="shared" si="48"/>
        <v>W</v>
      </c>
      <c r="I1451" s="5">
        <v>9.6999999999999993</v>
      </c>
      <c r="J1451" s="5">
        <v>117</v>
      </c>
      <c r="K1451" s="5">
        <v>6.5</v>
      </c>
      <c r="L1451" s="5">
        <v>1.6</v>
      </c>
      <c r="M1451" s="7" t="s">
        <v>571</v>
      </c>
      <c r="N1451" s="5">
        <v>33</v>
      </c>
      <c r="O1451" s="5">
        <v>17</v>
      </c>
      <c r="P1451" s="5">
        <v>6.2</v>
      </c>
      <c r="Q1451" s="2" t="s">
        <v>18</v>
      </c>
      <c r="R1451" s="5">
        <v>9.92</v>
      </c>
      <c r="S1451" s="5">
        <v>8.48</v>
      </c>
      <c r="T1451" s="5">
        <v>3</v>
      </c>
      <c r="U1451" s="2" t="str">
        <f>IF(T1451&lt;=1, "1",IF(AND(T1451&gt;1,T1451&lt;4), "2-3", "+4"))</f>
        <v>2-3</v>
      </c>
      <c r="V1451" s="5">
        <f>S1451*T1451</f>
        <v>25.44</v>
      </c>
      <c r="W1451" s="6" t="s">
        <v>2213</v>
      </c>
    </row>
    <row r="1452" spans="1:23" x14ac:dyDescent="0.15">
      <c r="A1452" s="2" t="s">
        <v>221</v>
      </c>
      <c r="B1452" s="2" t="s">
        <v>3930</v>
      </c>
      <c r="C1452" s="2" t="s">
        <v>27</v>
      </c>
      <c r="D1452" s="2" t="s">
        <v>623</v>
      </c>
      <c r="E1452" s="1"/>
      <c r="F1452" s="2" t="s">
        <v>223</v>
      </c>
      <c r="G1452" s="2">
        <v>19.100000000000001</v>
      </c>
      <c r="H1452" s="2" t="str">
        <f t="shared" si="48"/>
        <v>W</v>
      </c>
      <c r="I1452" s="5">
        <v>8.8320000000000007</v>
      </c>
      <c r="J1452" s="5">
        <f xml:space="preserve"> 0.0006608*(I1452*10)^2.649</f>
        <v>94.445329318716276</v>
      </c>
      <c r="K1452" s="5"/>
      <c r="L1452" s="5">
        <v>3</v>
      </c>
      <c r="M1452" s="2" t="s">
        <v>571</v>
      </c>
      <c r="N1452" s="5"/>
      <c r="O1452" s="5">
        <v>17</v>
      </c>
      <c r="P1452" s="5"/>
      <c r="R1452" s="5">
        <f>0.101*100</f>
        <v>10.100000000000001</v>
      </c>
      <c r="S1452" s="5">
        <f>(R1452/J1452)*100</f>
        <v>10.694017452060999</v>
      </c>
      <c r="V1452" s="5"/>
      <c r="W1452" s="6" t="s">
        <v>2033</v>
      </c>
    </row>
    <row r="1453" spans="1:23" x14ac:dyDescent="0.15">
      <c r="A1453" s="2" t="s">
        <v>221</v>
      </c>
      <c r="B1453" s="2" t="s">
        <v>3930</v>
      </c>
      <c r="C1453" s="2" t="s">
        <v>27</v>
      </c>
      <c r="D1453" s="2" t="s">
        <v>623</v>
      </c>
      <c r="E1453" s="1"/>
      <c r="F1453" s="2" t="s">
        <v>374</v>
      </c>
      <c r="G1453" s="2" t="s">
        <v>374</v>
      </c>
      <c r="H1453" s="2" t="str">
        <f t="shared" si="48"/>
        <v>C</v>
      </c>
      <c r="I1453" s="5"/>
      <c r="J1453" s="5"/>
      <c r="K1453" s="5"/>
      <c r="L1453" s="5">
        <v>1.5</v>
      </c>
      <c r="M1453" s="5" t="s">
        <v>571</v>
      </c>
      <c r="N1453" s="5"/>
      <c r="O1453" s="5"/>
      <c r="P1453" s="5"/>
      <c r="R1453" s="5"/>
      <c r="S1453" s="5"/>
      <c r="V1453" s="5"/>
      <c r="W1453" s="6" t="s">
        <v>3017</v>
      </c>
    </row>
    <row r="1454" spans="1:23" x14ac:dyDescent="0.15">
      <c r="A1454" s="2" t="s">
        <v>221</v>
      </c>
      <c r="B1454" s="2" t="s">
        <v>3930</v>
      </c>
      <c r="C1454" s="2" t="s">
        <v>27</v>
      </c>
      <c r="D1454" s="2" t="s">
        <v>769</v>
      </c>
      <c r="E1454" s="1"/>
      <c r="F1454" s="2" t="s">
        <v>2753</v>
      </c>
      <c r="G1454" s="2">
        <v>27.02</v>
      </c>
      <c r="H1454" s="2" t="str">
        <f t="shared" si="48"/>
        <v>W</v>
      </c>
      <c r="I1454" s="5">
        <v>11.3</v>
      </c>
      <c r="J1454" s="5">
        <v>180.8</v>
      </c>
      <c r="K1454" s="5"/>
      <c r="L1454" s="5">
        <v>5</v>
      </c>
      <c r="M1454" s="5" t="s">
        <v>571</v>
      </c>
      <c r="N1454" s="5">
        <v>26.65</v>
      </c>
      <c r="O1454" s="5">
        <v>16.45</v>
      </c>
      <c r="P1454" s="5">
        <f xml:space="preserve"> 0.162*N1454 + 0.485*O1454 - 7.843</f>
        <v>4.4525499999999987</v>
      </c>
      <c r="Q1454" s="2" t="s">
        <v>376</v>
      </c>
      <c r="R1454" s="5">
        <v>21.59</v>
      </c>
      <c r="S1454" s="5">
        <v>11.94</v>
      </c>
      <c r="T1454" s="2" t="s">
        <v>2245</v>
      </c>
      <c r="V1454" s="5">
        <f>S1454*1</f>
        <v>11.94</v>
      </c>
      <c r="W1454" s="6" t="s">
        <v>2892</v>
      </c>
    </row>
    <row r="1455" spans="1:23" x14ac:dyDescent="0.15">
      <c r="A1455" s="2" t="s">
        <v>221</v>
      </c>
      <c r="B1455" s="2" t="s">
        <v>3930</v>
      </c>
      <c r="C1455" s="2" t="s">
        <v>27</v>
      </c>
      <c r="D1455" s="2" t="s">
        <v>769</v>
      </c>
      <c r="E1455" s="1"/>
      <c r="F1455" s="2" t="s">
        <v>224</v>
      </c>
      <c r="G1455" s="2">
        <v>27.35</v>
      </c>
      <c r="H1455" s="2" t="str">
        <f t="shared" si="48"/>
        <v>W</v>
      </c>
      <c r="I1455" s="5">
        <v>10.45</v>
      </c>
      <c r="J1455" s="5">
        <v>145.47</v>
      </c>
      <c r="K1455" s="5">
        <v>5</v>
      </c>
      <c r="L1455" s="5">
        <v>4</v>
      </c>
      <c r="M1455" s="2" t="s">
        <v>571</v>
      </c>
      <c r="N1455" s="5">
        <v>27.2</v>
      </c>
      <c r="O1455" s="5">
        <v>15.2</v>
      </c>
      <c r="P1455" s="5">
        <f xml:space="preserve"> 0.162*N1455 + 0.485*O1455 - 7.843</f>
        <v>3.9353999999999996</v>
      </c>
      <c r="Q1455" s="2" t="s">
        <v>376</v>
      </c>
      <c r="R1455" s="5">
        <v>14.64</v>
      </c>
      <c r="S1455" s="5">
        <v>10.06</v>
      </c>
      <c r="T1455" s="2">
        <v>2</v>
      </c>
      <c r="U1455" s="2" t="str">
        <f>IF(T1455&lt;=1, "1",IF(AND(T1455&gt;1,T1455&lt;4), "2-3", "+4"))</f>
        <v>2-3</v>
      </c>
      <c r="V1455" s="5">
        <v>20.13</v>
      </c>
      <c r="W1455" s="6" t="s">
        <v>1900</v>
      </c>
    </row>
    <row r="1456" spans="1:23" x14ac:dyDescent="0.15">
      <c r="A1456" s="2" t="s">
        <v>221</v>
      </c>
      <c r="B1456" s="2" t="s">
        <v>3930</v>
      </c>
      <c r="C1456" s="2" t="s">
        <v>27</v>
      </c>
      <c r="D1456" s="2" t="s">
        <v>427</v>
      </c>
      <c r="E1456" s="1"/>
      <c r="F1456" s="2" t="s">
        <v>200</v>
      </c>
      <c r="G1456" s="2">
        <v>10</v>
      </c>
      <c r="H1456" s="2" t="str">
        <f t="shared" si="48"/>
        <v>W</v>
      </c>
      <c r="I1456" s="5">
        <v>11.2</v>
      </c>
      <c r="J1456" s="5">
        <f xml:space="preserve"> 0.1136*I1456^3.095</f>
        <v>200.77429589779229</v>
      </c>
      <c r="K1456" s="5"/>
      <c r="L1456" s="5">
        <v>1.5</v>
      </c>
      <c r="M1456" s="2" t="s">
        <v>571</v>
      </c>
      <c r="N1456" s="5">
        <v>40</v>
      </c>
      <c r="O1456" s="5">
        <v>22</v>
      </c>
      <c r="P1456" s="5">
        <f xml:space="preserve"> 0.284*N1456 + 0.957*O1456 - 20.408</f>
        <v>12.006</v>
      </c>
      <c r="Q1456" s="2" t="s">
        <v>376</v>
      </c>
      <c r="R1456" s="5">
        <f>P1456*L1456</f>
        <v>18.009</v>
      </c>
      <c r="S1456" s="5">
        <f>(R1456/J1456)*100</f>
        <v>8.9697737050801578</v>
      </c>
      <c r="V1456" s="5"/>
      <c r="W1456" s="6" t="s">
        <v>1836</v>
      </c>
    </row>
    <row r="1457" spans="1:23" x14ac:dyDescent="0.15">
      <c r="A1457" s="2" t="s">
        <v>221</v>
      </c>
      <c r="B1457" s="2" t="s">
        <v>3930</v>
      </c>
      <c r="C1457" s="2" t="s">
        <v>27</v>
      </c>
      <c r="D1457" s="2" t="s">
        <v>545</v>
      </c>
      <c r="E1457" s="1"/>
      <c r="F1457" s="2" t="s">
        <v>69</v>
      </c>
      <c r="G1457" s="2">
        <v>28.26</v>
      </c>
      <c r="H1457" s="2" t="str">
        <f t="shared" si="48"/>
        <v>W</v>
      </c>
      <c r="I1457" s="5">
        <v>8.75</v>
      </c>
      <c r="J1457" s="5">
        <v>97.1</v>
      </c>
      <c r="K1457" s="5"/>
      <c r="L1457" s="5">
        <v>2.14</v>
      </c>
      <c r="M1457" s="5" t="s">
        <v>571</v>
      </c>
      <c r="N1457" s="5">
        <v>28</v>
      </c>
      <c r="O1457" s="5">
        <v>16.600000000000001</v>
      </c>
      <c r="P1457" s="5">
        <f xml:space="preserve"> 0.237*N1457 + 0.483*O1457 - 9.673</f>
        <v>4.9808000000000003</v>
      </c>
      <c r="Q1457" s="2" t="s">
        <v>376</v>
      </c>
      <c r="R1457" s="5">
        <v>10.66</v>
      </c>
      <c r="S1457" s="5">
        <v>10.98</v>
      </c>
      <c r="T1457" s="2" t="s">
        <v>2754</v>
      </c>
      <c r="U1457" s="40" t="s">
        <v>395</v>
      </c>
      <c r="V1457" s="5">
        <f>S1457*2</f>
        <v>21.96</v>
      </c>
      <c r="W1457" s="6" t="s">
        <v>2893</v>
      </c>
    </row>
    <row r="1458" spans="1:23" x14ac:dyDescent="0.15">
      <c r="A1458" s="2" t="s">
        <v>221</v>
      </c>
      <c r="B1458" s="2" t="s">
        <v>3930</v>
      </c>
      <c r="C1458" s="2" t="s">
        <v>27</v>
      </c>
      <c r="D1458" s="2" t="s">
        <v>545</v>
      </c>
      <c r="E1458" s="1"/>
      <c r="F1458" s="2" t="s">
        <v>69</v>
      </c>
      <c r="G1458" s="2">
        <v>25.47</v>
      </c>
      <c r="H1458" s="2" t="str">
        <f t="shared" si="48"/>
        <v>W</v>
      </c>
      <c r="I1458" s="5">
        <v>10.35</v>
      </c>
      <c r="J1458" s="5">
        <v>153.30000000000001</v>
      </c>
      <c r="K1458" s="5"/>
      <c r="L1458" s="5">
        <v>3</v>
      </c>
      <c r="M1458" s="5" t="s">
        <v>571</v>
      </c>
      <c r="N1458" s="5">
        <v>31.43</v>
      </c>
      <c r="O1458" s="5">
        <v>16.899999999999999</v>
      </c>
      <c r="P1458" s="5">
        <f xml:space="preserve"> 0.237*N1458 + 0.483*O1458 - 9.673</f>
        <v>5.9386099999999988</v>
      </c>
      <c r="Q1458" s="2" t="s">
        <v>376</v>
      </c>
      <c r="R1458" s="5">
        <v>17.82</v>
      </c>
      <c r="S1458" s="5">
        <v>11.62</v>
      </c>
      <c r="T1458" s="2" t="s">
        <v>2754</v>
      </c>
      <c r="U1458" s="40" t="s">
        <v>395</v>
      </c>
      <c r="V1458" s="5">
        <f>S1458*2</f>
        <v>23.24</v>
      </c>
      <c r="W1458" s="6" t="s">
        <v>2893</v>
      </c>
    </row>
    <row r="1459" spans="1:23" x14ac:dyDescent="0.15">
      <c r="A1459" s="2" t="s">
        <v>221</v>
      </c>
      <c r="B1459" s="2" t="s">
        <v>3930</v>
      </c>
      <c r="C1459" s="2" t="s">
        <v>27</v>
      </c>
      <c r="D1459" s="2" t="s">
        <v>545</v>
      </c>
      <c r="E1459" s="1"/>
      <c r="F1459" s="2" t="s">
        <v>69</v>
      </c>
      <c r="G1459" s="2">
        <v>29.95</v>
      </c>
      <c r="H1459" s="2" t="str">
        <f t="shared" si="48"/>
        <v>W</v>
      </c>
      <c r="I1459" s="5">
        <v>13.65</v>
      </c>
      <c r="J1459" s="5">
        <f xml:space="preserve"> 0.249*I1459^2.867</f>
        <v>447.3265326367702</v>
      </c>
      <c r="K1459" s="5"/>
      <c r="L1459" s="5">
        <v>6.5</v>
      </c>
      <c r="M1459" s="5" t="s">
        <v>571</v>
      </c>
      <c r="N1459" s="5">
        <v>29.9</v>
      </c>
      <c r="O1459" s="5">
        <v>18.899999999999999</v>
      </c>
      <c r="P1459" s="5">
        <v>6.8</v>
      </c>
      <c r="Q1459" s="2" t="s">
        <v>18</v>
      </c>
      <c r="R1459" s="5">
        <v>31.96</v>
      </c>
      <c r="S1459" s="5">
        <v>7.1449999999999996</v>
      </c>
      <c r="V1459" s="5"/>
      <c r="W1459" s="6" t="s">
        <v>2894</v>
      </c>
    </row>
    <row r="1460" spans="1:23" x14ac:dyDescent="0.15">
      <c r="A1460" s="2" t="s">
        <v>221</v>
      </c>
      <c r="B1460" s="2" t="s">
        <v>3930</v>
      </c>
      <c r="C1460" s="2" t="s">
        <v>27</v>
      </c>
      <c r="D1460" s="2" t="s">
        <v>545</v>
      </c>
      <c r="E1460" s="1"/>
      <c r="F1460" s="2" t="s">
        <v>3650</v>
      </c>
      <c r="G1460" s="2">
        <v>28</v>
      </c>
      <c r="H1460" s="2" t="str">
        <f t="shared" si="48"/>
        <v>W</v>
      </c>
      <c r="I1460" s="5"/>
      <c r="J1460" s="5"/>
      <c r="K1460" s="5"/>
      <c r="L1460" s="5">
        <v>3</v>
      </c>
      <c r="M1460" s="5" t="s">
        <v>571</v>
      </c>
      <c r="N1460" s="5">
        <v>29</v>
      </c>
      <c r="O1460" s="5">
        <v>17</v>
      </c>
      <c r="P1460" s="5">
        <f xml:space="preserve"> 0.237*N1460 + 0.483*O1460 - 9.673</f>
        <v>5.4109999999999996</v>
      </c>
      <c r="Q1460" s="2" t="s">
        <v>376</v>
      </c>
      <c r="R1460" s="5">
        <f>P1460*L1460</f>
        <v>16.232999999999997</v>
      </c>
      <c r="S1460" s="5"/>
      <c r="V1460" s="5"/>
      <c r="W1460" s="6" t="s">
        <v>2895</v>
      </c>
    </row>
    <row r="1461" spans="1:23" x14ac:dyDescent="0.15">
      <c r="A1461" s="2" t="s">
        <v>221</v>
      </c>
      <c r="B1461" s="2" t="s">
        <v>3930</v>
      </c>
      <c r="C1461" s="2" t="s">
        <v>27</v>
      </c>
      <c r="D1461" s="2" t="s">
        <v>545</v>
      </c>
      <c r="E1461" s="1"/>
      <c r="F1461" s="2" t="s">
        <v>225</v>
      </c>
      <c r="G1461" s="2">
        <v>29.63</v>
      </c>
      <c r="H1461" s="2" t="str">
        <f t="shared" si="48"/>
        <v>W</v>
      </c>
      <c r="I1461" s="5">
        <v>9.16</v>
      </c>
      <c r="J1461" s="5">
        <f xml:space="preserve"> 0.249*I1461^2.867</f>
        <v>142.54555199860673</v>
      </c>
      <c r="K1461" s="5">
        <f>MEDIAN(5,6)</f>
        <v>5.5</v>
      </c>
      <c r="L1461" s="5">
        <v>2.5499999999999998</v>
      </c>
      <c r="M1461" s="2" t="s">
        <v>571</v>
      </c>
      <c r="N1461" s="5">
        <v>27.55</v>
      </c>
      <c r="O1461" s="5">
        <v>16.63</v>
      </c>
      <c r="P1461" s="5">
        <v>4.45</v>
      </c>
      <c r="Q1461" s="2" t="s">
        <v>18</v>
      </c>
      <c r="R1461" s="5">
        <v>11.35</v>
      </c>
      <c r="S1461" s="5">
        <v>8.3989999999999991</v>
      </c>
      <c r="T1461" s="9">
        <f>MEDIAN(3,6)</f>
        <v>4.5</v>
      </c>
      <c r="U1461" s="2" t="str">
        <f>IF(T1461&lt;=1, "1",IF(AND(T1461&gt;1,T1461&lt;4), "2-3", "+4"))</f>
        <v>+4</v>
      </c>
      <c r="V1461" s="5">
        <f>S1461*T1461</f>
        <v>37.795499999999997</v>
      </c>
      <c r="W1461" s="6" t="s">
        <v>1837</v>
      </c>
    </row>
    <row r="1462" spans="1:23" x14ac:dyDescent="0.15">
      <c r="A1462" s="2" t="s">
        <v>221</v>
      </c>
      <c r="B1462" s="2" t="s">
        <v>3930</v>
      </c>
      <c r="C1462" s="2" t="s">
        <v>27</v>
      </c>
      <c r="D1462" s="2" t="s">
        <v>545</v>
      </c>
      <c r="E1462" s="1"/>
      <c r="F1462" s="2" t="s">
        <v>69</v>
      </c>
      <c r="G1462" s="2">
        <v>28.48</v>
      </c>
      <c r="H1462" s="2" t="str">
        <f t="shared" si="48"/>
        <v>W</v>
      </c>
      <c r="I1462" s="5">
        <v>11.5</v>
      </c>
      <c r="J1462" s="5">
        <f xml:space="preserve"> 0.2642*(I1462^2.723)</f>
        <v>204.27397150771873</v>
      </c>
      <c r="K1462" s="5"/>
      <c r="L1462" s="5">
        <v>3</v>
      </c>
      <c r="M1462" s="5" t="s">
        <v>571</v>
      </c>
      <c r="N1462" s="5"/>
      <c r="O1462" s="5"/>
      <c r="P1462" s="5"/>
      <c r="R1462" s="5"/>
      <c r="S1462" s="5"/>
      <c r="T1462" s="2">
        <v>3</v>
      </c>
      <c r="U1462" s="2" t="str">
        <f>IF(T1462&lt;=1, "1",IF(AND(T1462&gt;1,T1462&lt;4), "2-3", "+4"))</f>
        <v>2-3</v>
      </c>
      <c r="V1462" s="5"/>
      <c r="W1462" s="6" t="s">
        <v>2896</v>
      </c>
    </row>
    <row r="1463" spans="1:23" x14ac:dyDescent="0.15">
      <c r="A1463" s="2" t="s">
        <v>221</v>
      </c>
      <c r="B1463" s="2" t="s">
        <v>3930</v>
      </c>
      <c r="C1463" s="2" t="s">
        <v>27</v>
      </c>
      <c r="D1463" s="2" t="s">
        <v>545</v>
      </c>
      <c r="E1463" s="1"/>
      <c r="F1463" s="2" t="s">
        <v>374</v>
      </c>
      <c r="G1463" s="2" t="s">
        <v>374</v>
      </c>
      <c r="H1463" s="2" t="str">
        <f t="shared" si="48"/>
        <v>C</v>
      </c>
      <c r="I1463" s="5"/>
      <c r="J1463" s="5"/>
      <c r="K1463" s="5">
        <f>MEDIAN(5,6)</f>
        <v>5.5</v>
      </c>
      <c r="L1463" s="5">
        <f>MEDIAN(3,5)</f>
        <v>4</v>
      </c>
      <c r="M1463" s="5" t="s">
        <v>571</v>
      </c>
      <c r="N1463" s="5"/>
      <c r="O1463" s="5"/>
      <c r="P1463" s="5">
        <f>MEDIAN(3,5)</f>
        <v>4</v>
      </c>
      <c r="Q1463" s="2" t="s">
        <v>18</v>
      </c>
      <c r="R1463" s="5">
        <f>P1463*L1463</f>
        <v>16</v>
      </c>
      <c r="S1463" s="5"/>
      <c r="T1463" s="2">
        <v>2</v>
      </c>
      <c r="U1463" s="2" t="str">
        <f>IF(T1463&lt;=1, "1",IF(AND(T1463&gt;1,T1463&lt;4), "2-3", "+4"))</f>
        <v>2-3</v>
      </c>
      <c r="V1463" s="5"/>
      <c r="W1463" s="6" t="s">
        <v>2957</v>
      </c>
    </row>
    <row r="1464" spans="1:23" x14ac:dyDescent="0.15">
      <c r="A1464" s="2" t="s">
        <v>221</v>
      </c>
      <c r="B1464" s="2" t="s">
        <v>3930</v>
      </c>
      <c r="C1464" s="2" t="s">
        <v>27</v>
      </c>
      <c r="D1464" s="2" t="s">
        <v>545</v>
      </c>
      <c r="E1464" s="1"/>
      <c r="F1464" s="2" t="s">
        <v>1916</v>
      </c>
      <c r="G1464" s="2">
        <v>25.67</v>
      </c>
      <c r="H1464" s="2" t="str">
        <f t="shared" si="48"/>
        <v>W</v>
      </c>
      <c r="I1464" s="5">
        <v>10.5</v>
      </c>
      <c r="J1464" s="5">
        <v>159.44999999999999</v>
      </c>
      <c r="K1464" s="5"/>
      <c r="L1464" s="5">
        <v>2.7</v>
      </c>
      <c r="M1464" s="5" t="s">
        <v>571</v>
      </c>
      <c r="N1464" s="5">
        <v>27.57</v>
      </c>
      <c r="O1464" s="5">
        <v>15.3</v>
      </c>
      <c r="P1464" s="5">
        <v>4.25</v>
      </c>
      <c r="Q1464" s="2" t="s">
        <v>376</v>
      </c>
      <c r="R1464" s="5">
        <v>11.48</v>
      </c>
      <c r="S1464" s="5">
        <v>7.2</v>
      </c>
      <c r="T1464" s="2" t="s">
        <v>524</v>
      </c>
      <c r="U1464" s="40" t="s">
        <v>395</v>
      </c>
      <c r="V1464" s="5"/>
      <c r="W1464" s="6" t="s">
        <v>2897</v>
      </c>
    </row>
    <row r="1465" spans="1:23" x14ac:dyDescent="0.15">
      <c r="A1465" s="2" t="s">
        <v>221</v>
      </c>
      <c r="B1465" s="2" t="s">
        <v>3930</v>
      </c>
      <c r="C1465" s="2" t="s">
        <v>27</v>
      </c>
      <c r="D1465" s="2" t="s">
        <v>545</v>
      </c>
      <c r="E1465" s="1"/>
      <c r="F1465" s="2" t="s">
        <v>1916</v>
      </c>
      <c r="G1465" s="2">
        <v>25.4</v>
      </c>
      <c r="H1465" s="2" t="str">
        <f t="shared" si="48"/>
        <v>W</v>
      </c>
      <c r="I1465" s="5">
        <v>8.9</v>
      </c>
      <c r="J1465" s="5">
        <v>101.65</v>
      </c>
      <c r="K1465" s="5"/>
      <c r="L1465" s="5">
        <v>1.9</v>
      </c>
      <c r="M1465" s="5" t="s">
        <v>571</v>
      </c>
      <c r="N1465" s="5">
        <v>29.1</v>
      </c>
      <c r="O1465" s="5">
        <v>16.5</v>
      </c>
      <c r="P1465" s="5">
        <v>5.1929999999999996</v>
      </c>
      <c r="Q1465" s="2" t="s">
        <v>376</v>
      </c>
      <c r="R1465" s="5">
        <v>9.8670000000000009</v>
      </c>
      <c r="S1465" s="5">
        <v>9.7100000000000009</v>
      </c>
      <c r="T1465" s="2">
        <v>3</v>
      </c>
      <c r="U1465" s="2" t="str">
        <f>IF(T1465&lt;=1, "1",IF(AND(T1465&gt;1,T1465&lt;4), "2-3", "+4"))</f>
        <v>2-3</v>
      </c>
      <c r="V1465" s="5">
        <f>S1465*T1465</f>
        <v>29.130000000000003</v>
      </c>
      <c r="W1465" s="6" t="s">
        <v>2898</v>
      </c>
    </row>
    <row r="1466" spans="1:23" x14ac:dyDescent="0.15">
      <c r="A1466" s="2" t="s">
        <v>221</v>
      </c>
      <c r="B1466" s="2" t="s">
        <v>3930</v>
      </c>
      <c r="C1466" s="2" t="s">
        <v>27</v>
      </c>
      <c r="D1466" s="2" t="s">
        <v>545</v>
      </c>
      <c r="E1466" s="1"/>
      <c r="F1466" s="2" t="s">
        <v>855</v>
      </c>
      <c r="H1466" s="2" t="s">
        <v>3887</v>
      </c>
      <c r="I1466" s="5"/>
      <c r="J1466" s="5"/>
      <c r="K1466" s="5"/>
      <c r="L1466" s="5">
        <v>5.0999999999999996</v>
      </c>
      <c r="M1466" s="5" t="s">
        <v>571</v>
      </c>
      <c r="N1466" s="5">
        <v>27.1</v>
      </c>
      <c r="O1466" s="5">
        <v>18.5</v>
      </c>
      <c r="P1466" s="5">
        <v>5.5</v>
      </c>
      <c r="Q1466" s="2" t="s">
        <v>18</v>
      </c>
      <c r="R1466" s="5">
        <v>28.05</v>
      </c>
      <c r="S1466" s="5"/>
      <c r="T1466" s="2" t="s">
        <v>495</v>
      </c>
      <c r="U1466" s="40" t="s">
        <v>395</v>
      </c>
      <c r="V1466" s="5"/>
      <c r="W1466" s="6" t="s">
        <v>2221</v>
      </c>
    </row>
    <row r="1467" spans="1:23" x14ac:dyDescent="0.15">
      <c r="A1467" s="2" t="s">
        <v>221</v>
      </c>
      <c r="B1467" s="2" t="s">
        <v>3930</v>
      </c>
      <c r="C1467" s="2" t="s">
        <v>27</v>
      </c>
      <c r="D1467" s="2" t="s">
        <v>545</v>
      </c>
      <c r="E1467" s="1"/>
      <c r="F1467" s="2" t="s">
        <v>226</v>
      </c>
      <c r="G1467" s="2">
        <v>33</v>
      </c>
      <c r="H1467" s="2" t="str">
        <f t="shared" si="48"/>
        <v>W</v>
      </c>
      <c r="I1467" s="5"/>
      <c r="J1467" s="5"/>
      <c r="K1467" s="5"/>
      <c r="L1467" s="5">
        <f>19/8</f>
        <v>2.375</v>
      </c>
      <c r="M1467" s="5" t="s">
        <v>571</v>
      </c>
      <c r="N1467" s="5">
        <v>28.3</v>
      </c>
      <c r="O1467" s="5">
        <v>17.7</v>
      </c>
      <c r="P1467" s="5">
        <v>5.6</v>
      </c>
      <c r="Q1467" s="2" t="s">
        <v>18</v>
      </c>
      <c r="R1467" s="5">
        <f>P1467*L1467</f>
        <v>13.299999999999999</v>
      </c>
      <c r="S1467" s="5"/>
      <c r="V1467" s="5"/>
      <c r="W1467" s="6" t="s">
        <v>2034</v>
      </c>
    </row>
    <row r="1468" spans="1:23" x14ac:dyDescent="0.15">
      <c r="A1468" s="2" t="s">
        <v>221</v>
      </c>
      <c r="B1468" s="2" t="s">
        <v>3930</v>
      </c>
      <c r="C1468" s="2" t="s">
        <v>27</v>
      </c>
      <c r="D1468" s="2" t="s">
        <v>545</v>
      </c>
      <c r="E1468" s="1"/>
      <c r="F1468" s="2" t="s">
        <v>69</v>
      </c>
      <c r="G1468" s="2">
        <v>26.24</v>
      </c>
      <c r="H1468" s="2" t="str">
        <f t="shared" si="48"/>
        <v>W</v>
      </c>
      <c r="I1468" s="5">
        <v>9.9</v>
      </c>
      <c r="J1468" s="5">
        <v>135.80000000000001</v>
      </c>
      <c r="K1468" s="5"/>
      <c r="L1468" s="5">
        <v>6</v>
      </c>
      <c r="M1468" s="5" t="s">
        <v>571</v>
      </c>
      <c r="N1468" s="5">
        <v>23.75</v>
      </c>
      <c r="O1468" s="5">
        <v>14</v>
      </c>
      <c r="P1468" s="5">
        <f xml:space="preserve"> 0.237*N1468 + 0.483*O1468 - 9.673</f>
        <v>2.7177500000000006</v>
      </c>
      <c r="Q1468" s="2" t="s">
        <v>376</v>
      </c>
      <c r="R1468" s="5">
        <v>16.309999999999999</v>
      </c>
      <c r="S1468" s="5">
        <v>12.01</v>
      </c>
      <c r="V1468" s="5"/>
      <c r="W1468" s="6" t="s">
        <v>3289</v>
      </c>
    </row>
    <row r="1469" spans="1:23" x14ac:dyDescent="0.15">
      <c r="A1469" s="2" t="s">
        <v>221</v>
      </c>
      <c r="B1469" s="2" t="s">
        <v>3930</v>
      </c>
      <c r="C1469" s="2" t="s">
        <v>27</v>
      </c>
      <c r="D1469" s="2" t="s">
        <v>545</v>
      </c>
      <c r="E1469" s="1"/>
      <c r="F1469" s="2" t="s">
        <v>538</v>
      </c>
      <c r="H1469" s="2" t="s">
        <v>3887</v>
      </c>
      <c r="I1469" s="5">
        <v>10.41</v>
      </c>
      <c r="J1469" s="5">
        <f xml:space="preserve"> 0.249*I1469^2.867</f>
        <v>205.69824606835599</v>
      </c>
      <c r="K1469" s="5"/>
      <c r="L1469" s="5">
        <v>4.67</v>
      </c>
      <c r="M1469" s="5" t="s">
        <v>571</v>
      </c>
      <c r="N1469" s="5">
        <v>27.73</v>
      </c>
      <c r="O1469" s="5">
        <v>17.93</v>
      </c>
      <c r="P1469" s="5">
        <v>5.56</v>
      </c>
      <c r="Q1469" s="2" t="s">
        <v>376</v>
      </c>
      <c r="R1469" s="5">
        <v>25.95</v>
      </c>
      <c r="S1469" s="5">
        <f>(R1469/J1469)*100</f>
        <v>12.615566975411403</v>
      </c>
      <c r="V1469" s="5"/>
      <c r="W1469" s="6" t="s">
        <v>2220</v>
      </c>
    </row>
    <row r="1470" spans="1:23" x14ac:dyDescent="0.15">
      <c r="A1470" s="2" t="s">
        <v>221</v>
      </c>
      <c r="B1470" s="2" t="s">
        <v>3930</v>
      </c>
      <c r="C1470" s="2" t="s">
        <v>27</v>
      </c>
      <c r="D1470" s="2" t="s">
        <v>545</v>
      </c>
      <c r="E1470" s="1"/>
      <c r="F1470" s="2" t="s">
        <v>374</v>
      </c>
      <c r="G1470" s="2" t="s">
        <v>374</v>
      </c>
      <c r="H1470" s="2" t="str">
        <f t="shared" si="48"/>
        <v>C</v>
      </c>
      <c r="I1470" s="5">
        <v>10.4</v>
      </c>
      <c r="J1470" s="5">
        <v>145</v>
      </c>
      <c r="K1470" s="5"/>
      <c r="L1470" s="5">
        <v>4</v>
      </c>
      <c r="M1470" s="5" t="s">
        <v>571</v>
      </c>
      <c r="N1470" s="5"/>
      <c r="O1470" s="5"/>
      <c r="P1470" s="5"/>
      <c r="R1470" s="5"/>
      <c r="S1470" s="5"/>
      <c r="T1470" s="2">
        <v>2</v>
      </c>
      <c r="U1470" s="2" t="str">
        <f>IF(T1470&lt;=1, "1",IF(AND(T1470&gt;1,T1470&lt;4), "2-3", "+4"))</f>
        <v>2-3</v>
      </c>
      <c r="V1470" s="5"/>
      <c r="W1470" s="6" t="s">
        <v>2899</v>
      </c>
    </row>
    <row r="1471" spans="1:23" x14ac:dyDescent="0.15">
      <c r="A1471" s="2" t="s">
        <v>221</v>
      </c>
      <c r="B1471" s="2" t="s">
        <v>3930</v>
      </c>
      <c r="C1471" s="2" t="s">
        <v>27</v>
      </c>
      <c r="D1471" s="2" t="s">
        <v>545</v>
      </c>
      <c r="E1471" s="1"/>
      <c r="F1471" s="2" t="s">
        <v>374</v>
      </c>
      <c r="G1471" s="2" t="s">
        <v>374</v>
      </c>
      <c r="H1471" s="2" t="str">
        <f t="shared" si="48"/>
        <v>C</v>
      </c>
      <c r="I1471" s="5">
        <v>8.9499999999999993</v>
      </c>
      <c r="J1471" s="5">
        <v>150.5</v>
      </c>
      <c r="K1471" s="7">
        <v>3</v>
      </c>
      <c r="L1471" s="7">
        <v>2.11</v>
      </c>
      <c r="M1471" s="5" t="s">
        <v>571</v>
      </c>
      <c r="N1471" s="5">
        <v>28.77</v>
      </c>
      <c r="O1471" s="5">
        <v>17.11</v>
      </c>
      <c r="P1471" s="5">
        <f xml:space="preserve"> 0.237*N1471 + 0.483*O1471 - 9.673</f>
        <v>5.4096199999999985</v>
      </c>
      <c r="Q1471" s="2" t="s">
        <v>376</v>
      </c>
      <c r="R1471" s="5">
        <v>11.41</v>
      </c>
      <c r="S1471" s="5">
        <v>7.58</v>
      </c>
      <c r="T1471" s="2" t="s">
        <v>2755</v>
      </c>
      <c r="U1471" s="40" t="s">
        <v>4047</v>
      </c>
      <c r="V1471" s="5"/>
      <c r="W1471" s="6" t="s">
        <v>2900</v>
      </c>
    </row>
    <row r="1472" spans="1:23" x14ac:dyDescent="0.15">
      <c r="A1472" s="2" t="s">
        <v>221</v>
      </c>
      <c r="B1472" s="2" t="s">
        <v>3930</v>
      </c>
      <c r="C1472" s="2" t="s">
        <v>27</v>
      </c>
      <c r="D1472" s="2" t="s">
        <v>545</v>
      </c>
      <c r="E1472" s="1"/>
      <c r="F1472" s="2" t="s">
        <v>69</v>
      </c>
      <c r="G1472" s="2" t="s">
        <v>374</v>
      </c>
      <c r="H1472" s="2" t="str">
        <f t="shared" si="48"/>
        <v>C</v>
      </c>
      <c r="I1472" s="5">
        <f>EXP(LN(J1472/0.249)/2.867)</f>
        <v>8.8703347333211866</v>
      </c>
      <c r="J1472" s="5">
        <v>130</v>
      </c>
      <c r="K1472" s="5"/>
      <c r="L1472" s="5">
        <v>3</v>
      </c>
      <c r="M1472" s="7" t="s">
        <v>571</v>
      </c>
      <c r="N1472" s="5">
        <v>24</v>
      </c>
      <c r="O1472" s="5">
        <v>14.5</v>
      </c>
      <c r="P1472" s="5">
        <v>4.4130000000000003</v>
      </c>
      <c r="Q1472" s="2" t="s">
        <v>18</v>
      </c>
      <c r="R1472" s="5">
        <v>12.4</v>
      </c>
      <c r="S1472" s="5">
        <v>9.5399999999999991</v>
      </c>
      <c r="T1472" s="2" t="s">
        <v>382</v>
      </c>
      <c r="U1472" s="40" t="s">
        <v>395</v>
      </c>
      <c r="V1472" s="5"/>
      <c r="W1472" s="6" t="s">
        <v>2901</v>
      </c>
    </row>
    <row r="1473" spans="1:23" x14ac:dyDescent="0.15">
      <c r="A1473" s="4" t="s">
        <v>221</v>
      </c>
      <c r="B1473" s="2" t="s">
        <v>3930</v>
      </c>
      <c r="C1473" s="4" t="s">
        <v>27</v>
      </c>
      <c r="D1473" s="4" t="s">
        <v>545</v>
      </c>
      <c r="E1473" s="1"/>
      <c r="F1473" s="4" t="s">
        <v>69</v>
      </c>
      <c r="G1473" s="4">
        <v>28.07</v>
      </c>
      <c r="H1473" s="2" t="str">
        <f t="shared" si="48"/>
        <v>W</v>
      </c>
      <c r="I1473" s="5">
        <v>9.879999999999999</v>
      </c>
      <c r="J1473" s="5">
        <v>171.5</v>
      </c>
      <c r="K1473" s="5"/>
      <c r="L1473" s="5">
        <v>2.7</v>
      </c>
      <c r="M1473" s="4" t="s">
        <v>571</v>
      </c>
      <c r="N1473" s="33">
        <v>28.4</v>
      </c>
      <c r="O1473" s="5">
        <v>17.600000000000001</v>
      </c>
      <c r="P1473" s="5">
        <v>5.6</v>
      </c>
      <c r="Q1473" s="2" t="s">
        <v>18</v>
      </c>
      <c r="R1473" s="5">
        <v>15.12</v>
      </c>
      <c r="S1473" s="5">
        <v>8.82</v>
      </c>
      <c r="T1473" s="2">
        <v>1.6</v>
      </c>
      <c r="U1473" s="2" t="str">
        <f>IF(T1473&lt;=1, "1",IF(AND(T1473&gt;1,T1473&lt;4), "2-3", "+4"))</f>
        <v>2-3</v>
      </c>
      <c r="V1473" s="5">
        <f>S1473*T1473</f>
        <v>14.112000000000002</v>
      </c>
      <c r="W1473" s="10" t="s">
        <v>1838</v>
      </c>
    </row>
    <row r="1474" spans="1:23" x14ac:dyDescent="0.15">
      <c r="A1474" s="2" t="s">
        <v>221</v>
      </c>
      <c r="B1474" s="2" t="s">
        <v>3930</v>
      </c>
      <c r="C1474" s="2" t="s">
        <v>27</v>
      </c>
      <c r="D1474" s="2" t="s">
        <v>545</v>
      </c>
      <c r="E1474" s="1"/>
      <c r="F1474" s="2" t="s">
        <v>69</v>
      </c>
      <c r="G1474" s="2" t="s">
        <v>374</v>
      </c>
      <c r="H1474" s="2" t="str">
        <f t="shared" si="48"/>
        <v>C</v>
      </c>
      <c r="I1474" s="5"/>
      <c r="J1474" s="5"/>
      <c r="K1474" s="7">
        <f>MEDIAN(5,7)</f>
        <v>6</v>
      </c>
      <c r="L1474" s="7">
        <f>MEDIAN(1,7)</f>
        <v>4</v>
      </c>
      <c r="M1474" s="5" t="s">
        <v>571</v>
      </c>
      <c r="N1474" s="5">
        <v>29.9</v>
      </c>
      <c r="O1474" s="5">
        <v>19</v>
      </c>
      <c r="P1474" s="5">
        <v>8</v>
      </c>
      <c r="Q1474" s="2" t="s">
        <v>18</v>
      </c>
      <c r="R1474" s="5">
        <f>P1474*L1474</f>
        <v>32</v>
      </c>
      <c r="S1474" s="5"/>
      <c r="V1474" s="5"/>
      <c r="W1474" s="6" t="s">
        <v>3290</v>
      </c>
    </row>
    <row r="1475" spans="1:23" x14ac:dyDescent="0.15">
      <c r="A1475" s="2" t="s">
        <v>221</v>
      </c>
      <c r="B1475" s="2" t="s">
        <v>3930</v>
      </c>
      <c r="C1475" s="2" t="s">
        <v>27</v>
      </c>
      <c r="D1475" s="2" t="s">
        <v>624</v>
      </c>
      <c r="E1475" s="1"/>
      <c r="F1475" s="2" t="s">
        <v>379</v>
      </c>
      <c r="G1475" s="2">
        <v>19.5</v>
      </c>
      <c r="H1475" s="2" t="str">
        <f t="shared" si="48"/>
        <v>W</v>
      </c>
      <c r="I1475" s="5">
        <v>10.81</v>
      </c>
      <c r="J1475" s="5">
        <v>182.6</v>
      </c>
      <c r="K1475" s="7">
        <f>MEDIAN(7,8)</f>
        <v>7.5</v>
      </c>
      <c r="L1475" s="5">
        <v>3.7</v>
      </c>
      <c r="M1475" s="5" t="s">
        <v>571</v>
      </c>
      <c r="N1475" s="5">
        <v>33.4</v>
      </c>
      <c r="O1475" s="5">
        <v>17.5</v>
      </c>
      <c r="P1475" s="5">
        <f xml:space="preserve"> (0.201*N1475) + (0.675*O1475) - 12.269</f>
        <v>6.2568999999999999</v>
      </c>
      <c r="Q1475" s="2" t="s">
        <v>376</v>
      </c>
      <c r="R1475" s="5">
        <v>23.15</v>
      </c>
      <c r="S1475" s="5">
        <v>12.68</v>
      </c>
      <c r="V1475" s="5"/>
      <c r="W1475" s="6" t="s">
        <v>2902</v>
      </c>
    </row>
    <row r="1476" spans="1:23" x14ac:dyDescent="0.15">
      <c r="A1476" s="2" t="s">
        <v>221</v>
      </c>
      <c r="B1476" s="2" t="s">
        <v>3930</v>
      </c>
      <c r="C1476" s="2" t="s">
        <v>27</v>
      </c>
      <c r="D1476" s="2" t="s">
        <v>624</v>
      </c>
      <c r="E1476" s="1"/>
      <c r="F1476" s="2" t="s">
        <v>379</v>
      </c>
      <c r="G1476" s="2">
        <v>19</v>
      </c>
      <c r="H1476" s="2" t="str">
        <f t="shared" si="48"/>
        <v>W</v>
      </c>
      <c r="I1476" s="5">
        <v>10.4</v>
      </c>
      <c r="J1476" s="5">
        <f xml:space="preserve"> 0.1507*(I1476^2.9825)</f>
        <v>162.71035280992425</v>
      </c>
      <c r="K1476" s="5"/>
      <c r="L1476" s="5">
        <v>3.77</v>
      </c>
      <c r="M1476" s="7" t="s">
        <v>571</v>
      </c>
      <c r="N1476" s="5">
        <v>33.4</v>
      </c>
      <c r="O1476" s="5">
        <v>17.5</v>
      </c>
      <c r="P1476" s="5">
        <f xml:space="preserve"> (0.201*N1476) + (0.675*O1476) - 12.269</f>
        <v>6.2568999999999999</v>
      </c>
      <c r="Q1476" s="2" t="s">
        <v>376</v>
      </c>
      <c r="R1476" s="5">
        <f>P1476*L1476</f>
        <v>23.588512999999999</v>
      </c>
      <c r="S1476" s="5">
        <f>(R1476/J1476)*100</f>
        <v>14.497241627615262</v>
      </c>
      <c r="T1476" s="5"/>
      <c r="U1476" s="5"/>
      <c r="V1476" s="5"/>
      <c r="W1476" s="6" t="s">
        <v>2213</v>
      </c>
    </row>
    <row r="1477" spans="1:23" x14ac:dyDescent="0.15">
      <c r="A1477" s="2" t="s">
        <v>221</v>
      </c>
      <c r="B1477" s="2" t="s">
        <v>3930</v>
      </c>
      <c r="C1477" s="2" t="s">
        <v>27</v>
      </c>
      <c r="D1477" s="2" t="s">
        <v>624</v>
      </c>
      <c r="E1477" s="1"/>
      <c r="F1477" s="2" t="s">
        <v>227</v>
      </c>
      <c r="G1477" s="2">
        <v>19</v>
      </c>
      <c r="H1477" s="2" t="str">
        <f t="shared" si="48"/>
        <v>W</v>
      </c>
      <c r="I1477" s="5">
        <v>13.987</v>
      </c>
      <c r="J1477" s="5">
        <f xml:space="preserve"> 0.1507*(I1477^2.9825)</f>
        <v>393.76471517827378</v>
      </c>
      <c r="K1477" s="5"/>
      <c r="L1477" s="5">
        <v>4.3</v>
      </c>
      <c r="M1477" s="2" t="s">
        <v>571</v>
      </c>
      <c r="N1477" s="5"/>
      <c r="O1477" s="5">
        <v>17.89</v>
      </c>
      <c r="P1477" s="5">
        <f xml:space="preserve"> 1.001*O1477 - 11.469</f>
        <v>6.4388899999999989</v>
      </c>
      <c r="Q1477" s="2" t="s">
        <v>376</v>
      </c>
      <c r="R1477" s="5">
        <f>P1477*L1477</f>
        <v>27.687226999999993</v>
      </c>
      <c r="S1477" s="5">
        <f>0.071*100</f>
        <v>7.1</v>
      </c>
      <c r="V1477" s="5"/>
      <c r="W1477" s="6" t="s">
        <v>2035</v>
      </c>
    </row>
    <row r="1478" spans="1:23" x14ac:dyDescent="0.15">
      <c r="A1478" s="2" t="s">
        <v>221</v>
      </c>
      <c r="B1478" s="2" t="s">
        <v>3930</v>
      </c>
      <c r="C1478" s="2" t="s">
        <v>27</v>
      </c>
      <c r="D1478" s="2" t="s">
        <v>3454</v>
      </c>
      <c r="E1478" s="1"/>
      <c r="F1478" s="2" t="s">
        <v>379</v>
      </c>
      <c r="G1478" s="2">
        <v>22.53</v>
      </c>
      <c r="H1478" s="2" t="str">
        <f t="shared" si="48"/>
        <v>W</v>
      </c>
      <c r="I1478" s="5">
        <v>10.77</v>
      </c>
      <c r="J1478" s="5">
        <v>177.9</v>
      </c>
      <c r="K1478" s="5"/>
      <c r="L1478" s="5">
        <v>2</v>
      </c>
      <c r="M1478" s="2" t="s">
        <v>571</v>
      </c>
      <c r="N1478" s="5">
        <v>29</v>
      </c>
      <c r="O1478" s="5">
        <v>18</v>
      </c>
      <c r="P1478" s="5">
        <v>5.68</v>
      </c>
      <c r="Q1478" s="2" t="s">
        <v>376</v>
      </c>
      <c r="R1478" s="5">
        <v>11.36</v>
      </c>
      <c r="S1478" s="5">
        <v>6.39</v>
      </c>
      <c r="T1478" s="2" t="s">
        <v>122</v>
      </c>
      <c r="V1478" s="5"/>
      <c r="W1478" s="6" t="s">
        <v>3630</v>
      </c>
    </row>
    <row r="1479" spans="1:23" x14ac:dyDescent="0.15">
      <c r="A1479" s="2" t="s">
        <v>221</v>
      </c>
      <c r="B1479" s="2" t="s">
        <v>3930</v>
      </c>
      <c r="C1479" s="2" t="s">
        <v>27</v>
      </c>
      <c r="D1479" s="2" t="s">
        <v>770</v>
      </c>
      <c r="E1479" s="1"/>
      <c r="F1479" s="2" t="s">
        <v>856</v>
      </c>
      <c r="G1479" s="2" t="s">
        <v>374</v>
      </c>
      <c r="H1479" s="2" t="str">
        <f t="shared" si="48"/>
        <v>C</v>
      </c>
      <c r="I1479" s="5"/>
      <c r="J1479" s="5"/>
      <c r="K1479" s="5"/>
      <c r="L1479" s="5">
        <v>1.36</v>
      </c>
      <c r="M1479" s="7" t="s">
        <v>571</v>
      </c>
      <c r="N1479" s="5"/>
      <c r="O1479" s="5"/>
      <c r="P1479" s="5"/>
      <c r="R1479" s="5"/>
      <c r="S1479" s="5"/>
      <c r="T1479" s="2">
        <v>2.75</v>
      </c>
      <c r="U1479" s="2" t="str">
        <f>IF(T1479&lt;=1, "1",IF(AND(T1479&gt;1,T1479&lt;4), "2-3", "+4"))</f>
        <v>2-3</v>
      </c>
      <c r="V1479" s="5"/>
      <c r="W1479" s="6" t="s">
        <v>2529</v>
      </c>
    </row>
    <row r="1480" spans="1:23" x14ac:dyDescent="0.15">
      <c r="A1480" s="2" t="s">
        <v>221</v>
      </c>
      <c r="B1480" s="2" t="s">
        <v>3930</v>
      </c>
      <c r="C1480" s="2" t="s">
        <v>27</v>
      </c>
      <c r="D1480" s="2" t="s">
        <v>770</v>
      </c>
      <c r="E1480" s="1"/>
      <c r="F1480" s="2" t="s">
        <v>228</v>
      </c>
      <c r="G1480" s="2">
        <v>19.829999999999998</v>
      </c>
      <c r="H1480" s="2" t="str">
        <f t="shared" si="48"/>
        <v>W</v>
      </c>
      <c r="I1480" s="5">
        <v>11.6</v>
      </c>
      <c r="J1480" s="5">
        <v>207</v>
      </c>
      <c r="K1480" s="7">
        <f>MEDIAN(10,15)</f>
        <v>12.5</v>
      </c>
      <c r="L1480" s="5">
        <v>1</v>
      </c>
      <c r="M1480" s="2" t="s">
        <v>571</v>
      </c>
      <c r="N1480" s="5">
        <v>38.200000000000003</v>
      </c>
      <c r="O1480" s="5">
        <v>19.100000000000001</v>
      </c>
      <c r="P1480" s="5">
        <v>8.9</v>
      </c>
      <c r="Q1480" s="2" t="s">
        <v>18</v>
      </c>
      <c r="R1480" s="5">
        <v>8.9</v>
      </c>
      <c r="S1480" s="5">
        <f>(R1480/J1480)*100</f>
        <v>4.2995169082125608</v>
      </c>
      <c r="T1480" s="9">
        <f>MEDIAN(2,3)</f>
        <v>2.5</v>
      </c>
      <c r="U1480" s="2" t="str">
        <f>IF(T1480&lt;=1, "1",IF(AND(T1480&gt;1,T1480&lt;4), "2-3", "+4"))</f>
        <v>2-3</v>
      </c>
      <c r="V1480" s="5">
        <f>S1480*T1480</f>
        <v>10.748792270531402</v>
      </c>
      <c r="W1480" s="6" t="s">
        <v>1839</v>
      </c>
    </row>
    <row r="1481" spans="1:23" x14ac:dyDescent="0.15">
      <c r="A1481" s="2" t="s">
        <v>221</v>
      </c>
      <c r="B1481" s="2" t="s">
        <v>3930</v>
      </c>
      <c r="C1481" s="2" t="s">
        <v>27</v>
      </c>
      <c r="D1481" s="2" t="s">
        <v>771</v>
      </c>
      <c r="E1481" s="1"/>
      <c r="F1481" s="2" t="s">
        <v>219</v>
      </c>
      <c r="G1481" s="2">
        <v>2</v>
      </c>
      <c r="H1481" s="2" t="str">
        <f t="shared" si="48"/>
        <v>W</v>
      </c>
      <c r="I1481" s="5">
        <v>15</v>
      </c>
      <c r="J1481" s="5">
        <f xml:space="preserve"> 0.1136*I1481^3.095</f>
        <v>495.88477918867005</v>
      </c>
      <c r="K1481" s="5"/>
      <c r="L1481" s="5">
        <v>2</v>
      </c>
      <c r="M1481" s="5" t="s">
        <v>571</v>
      </c>
      <c r="N1481" s="5">
        <v>44.5</v>
      </c>
      <c r="O1481" s="5">
        <v>25</v>
      </c>
      <c r="P1481" s="5">
        <v>17.2</v>
      </c>
      <c r="Q1481" s="2" t="s">
        <v>376</v>
      </c>
      <c r="R1481" s="5">
        <v>34.4</v>
      </c>
      <c r="S1481" s="5">
        <v>6.93</v>
      </c>
      <c r="V1481" s="5"/>
      <c r="W1481" s="6" t="s">
        <v>2333</v>
      </c>
    </row>
    <row r="1482" spans="1:23" x14ac:dyDescent="0.15">
      <c r="A1482" s="2" t="s">
        <v>221</v>
      </c>
      <c r="B1482" s="2" t="s">
        <v>3930</v>
      </c>
      <c r="C1482" s="2" t="s">
        <v>27</v>
      </c>
      <c r="D1482" s="2" t="s">
        <v>771</v>
      </c>
      <c r="E1482" s="1"/>
      <c r="F1482" s="2" t="s">
        <v>219</v>
      </c>
      <c r="H1482" s="2" t="s">
        <v>3887</v>
      </c>
      <c r="I1482" s="5"/>
      <c r="J1482" s="5"/>
      <c r="K1482" s="5"/>
      <c r="L1482" s="5">
        <v>2</v>
      </c>
      <c r="M1482" s="7" t="s">
        <v>571</v>
      </c>
      <c r="N1482" s="5">
        <v>45</v>
      </c>
      <c r="O1482" s="5">
        <v>25</v>
      </c>
      <c r="P1482" s="5">
        <v>17.405000000000001</v>
      </c>
      <c r="Q1482" s="2" t="s">
        <v>376</v>
      </c>
      <c r="R1482" s="5">
        <f>P1482*L1482</f>
        <v>34.81</v>
      </c>
      <c r="S1482" s="5"/>
      <c r="V1482" s="5"/>
      <c r="W1482" s="6" t="s">
        <v>2165</v>
      </c>
    </row>
    <row r="1483" spans="1:23" x14ac:dyDescent="0.15">
      <c r="A1483" s="2" t="s">
        <v>221</v>
      </c>
      <c r="B1483" s="2" t="s">
        <v>3930</v>
      </c>
      <c r="C1483" s="2" t="s">
        <v>27</v>
      </c>
      <c r="D1483" s="2" t="s">
        <v>772</v>
      </c>
      <c r="E1483" s="1"/>
      <c r="F1483" s="2" t="s">
        <v>3540</v>
      </c>
      <c r="G1483" s="2">
        <v>25.1</v>
      </c>
      <c r="H1483" s="2" t="str">
        <f t="shared" si="48"/>
        <v>W</v>
      </c>
      <c r="I1483" s="5">
        <v>13.28</v>
      </c>
      <c r="J1483" s="5">
        <f xml:space="preserve"> 0.2988*I1483^2.988</f>
        <v>678.41656144888407</v>
      </c>
      <c r="K1483" s="5">
        <v>7</v>
      </c>
      <c r="L1483" s="5">
        <v>4</v>
      </c>
      <c r="M1483" s="2" t="s">
        <v>571</v>
      </c>
      <c r="N1483" s="5"/>
      <c r="O1483" s="5"/>
      <c r="P1483" s="5"/>
      <c r="R1483" s="5"/>
      <c r="S1483" s="5"/>
      <c r="T1483" s="2" t="s">
        <v>122</v>
      </c>
      <c r="V1483" s="5"/>
      <c r="W1483" s="6" t="s">
        <v>3541</v>
      </c>
    </row>
    <row r="1484" spans="1:23" x14ac:dyDescent="0.15">
      <c r="A1484" s="2" t="s">
        <v>221</v>
      </c>
      <c r="B1484" s="2" t="s">
        <v>3930</v>
      </c>
      <c r="C1484" s="2" t="s">
        <v>27</v>
      </c>
      <c r="D1484" s="2" t="s">
        <v>773</v>
      </c>
      <c r="E1484" s="1"/>
      <c r="F1484" s="2" t="s">
        <v>229</v>
      </c>
      <c r="G1484" s="2">
        <v>32.450000000000003</v>
      </c>
      <c r="H1484" s="2" t="str">
        <f t="shared" si="48"/>
        <v>W</v>
      </c>
      <c r="I1484" s="5">
        <v>11.61</v>
      </c>
      <c r="J1484" s="5">
        <v>315.3</v>
      </c>
      <c r="K1484" s="5"/>
      <c r="L1484" s="5">
        <v>4.75</v>
      </c>
      <c r="M1484" s="2" t="s">
        <v>571</v>
      </c>
      <c r="N1484" s="5">
        <v>27.34</v>
      </c>
      <c r="O1484" s="5">
        <v>16.600000000000001</v>
      </c>
      <c r="P1484" s="5">
        <v>4.33</v>
      </c>
      <c r="Q1484" s="2" t="s">
        <v>18</v>
      </c>
      <c r="R1484" s="5">
        <v>20.57</v>
      </c>
      <c r="S1484" s="5">
        <v>6.52</v>
      </c>
      <c r="V1484" s="5"/>
      <c r="W1484" s="6" t="s">
        <v>4453</v>
      </c>
    </row>
    <row r="1485" spans="1:23" x14ac:dyDescent="0.15">
      <c r="A1485" s="2" t="s">
        <v>221</v>
      </c>
      <c r="B1485" s="2" t="s">
        <v>3930</v>
      </c>
      <c r="C1485" s="2" t="s">
        <v>27</v>
      </c>
      <c r="D1485" s="2" t="s">
        <v>773</v>
      </c>
      <c r="E1485" s="1"/>
      <c r="F1485" s="2" t="s">
        <v>232</v>
      </c>
      <c r="H1485" s="2" t="s">
        <v>3887</v>
      </c>
      <c r="I1485" s="5"/>
      <c r="J1485" s="5"/>
      <c r="K1485" s="7">
        <f>MEDIAN(6,7)</f>
        <v>6.5</v>
      </c>
      <c r="L1485" s="5">
        <v>4.0999999999999996</v>
      </c>
      <c r="M1485" s="2" t="s">
        <v>571</v>
      </c>
      <c r="N1485" s="5"/>
      <c r="O1485" s="5"/>
      <c r="P1485" s="5"/>
      <c r="R1485" s="5"/>
      <c r="S1485" s="5"/>
      <c r="V1485" s="5"/>
      <c r="W1485" s="6" t="s">
        <v>2037</v>
      </c>
    </row>
    <row r="1486" spans="1:23" x14ac:dyDescent="0.15">
      <c r="A1486" s="2" t="s">
        <v>221</v>
      </c>
      <c r="B1486" s="2" t="s">
        <v>3930</v>
      </c>
      <c r="C1486" s="2" t="s">
        <v>27</v>
      </c>
      <c r="D1486" s="2" t="s">
        <v>773</v>
      </c>
      <c r="E1486" s="1"/>
      <c r="F1486" s="2" t="s">
        <v>231</v>
      </c>
      <c r="G1486" s="2">
        <v>41.3</v>
      </c>
      <c r="H1486" s="2" t="str">
        <f t="shared" si="48"/>
        <v>W</v>
      </c>
      <c r="I1486" s="5"/>
      <c r="J1486" s="5"/>
      <c r="K1486" s="5"/>
      <c r="L1486" s="5">
        <v>5</v>
      </c>
      <c r="M1486" s="2" t="s">
        <v>571</v>
      </c>
      <c r="N1486" s="5"/>
      <c r="O1486" s="5">
        <v>17.2</v>
      </c>
      <c r="P1486" s="5">
        <f xml:space="preserve"> (0.6799*O1486) - 6.767</f>
        <v>4.9272799999999988</v>
      </c>
      <c r="Q1486" s="2" t="s">
        <v>376</v>
      </c>
      <c r="R1486" s="5">
        <f>P1486*L1486</f>
        <v>24.636399999999995</v>
      </c>
      <c r="S1486" s="5"/>
      <c r="V1486" s="5"/>
      <c r="W1486" s="6" t="s">
        <v>2036</v>
      </c>
    </row>
    <row r="1487" spans="1:23" x14ac:dyDescent="0.15">
      <c r="A1487" s="2" t="s">
        <v>221</v>
      </c>
      <c r="B1487" s="2" t="s">
        <v>3930</v>
      </c>
      <c r="C1487" s="2" t="s">
        <v>27</v>
      </c>
      <c r="D1487" s="2" t="s">
        <v>773</v>
      </c>
      <c r="E1487" s="1"/>
      <c r="F1487" s="2" t="s">
        <v>231</v>
      </c>
      <c r="G1487" s="2">
        <v>41.34</v>
      </c>
      <c r="H1487" s="2" t="str">
        <f t="shared" si="48"/>
        <v>W</v>
      </c>
      <c r="I1487" s="5"/>
      <c r="J1487" s="5"/>
      <c r="K1487" s="7"/>
      <c r="L1487" s="5">
        <v>4.5999999999999996</v>
      </c>
      <c r="M1487" s="5" t="s">
        <v>571</v>
      </c>
      <c r="N1487" s="5">
        <v>31.2</v>
      </c>
      <c r="O1487" s="5">
        <v>17.2</v>
      </c>
      <c r="P1487" s="5">
        <f xml:space="preserve"> 0.148*N1487+ 0.512*O1487 - 8.049</f>
        <v>5.375</v>
      </c>
      <c r="Q1487" s="2" t="s">
        <v>376</v>
      </c>
      <c r="R1487" s="5">
        <v>24.73</v>
      </c>
      <c r="S1487" s="5"/>
      <c r="V1487" s="5"/>
      <c r="W1487" s="6" t="s">
        <v>2903</v>
      </c>
    </row>
    <row r="1488" spans="1:23" x14ac:dyDescent="0.15">
      <c r="A1488" s="2" t="s">
        <v>221</v>
      </c>
      <c r="B1488" s="2" t="s">
        <v>3930</v>
      </c>
      <c r="C1488" s="2" t="s">
        <v>27</v>
      </c>
      <c r="D1488" s="2" t="s">
        <v>773</v>
      </c>
      <c r="E1488" s="1"/>
      <c r="F1488" s="2" t="s">
        <v>4451</v>
      </c>
      <c r="G1488" s="2">
        <v>35.909999999999997</v>
      </c>
      <c r="H1488" s="2" t="str">
        <f t="shared" si="48"/>
        <v>W</v>
      </c>
      <c r="I1488" s="5">
        <v>9.32</v>
      </c>
      <c r="J1488" s="5">
        <v>214</v>
      </c>
      <c r="K1488" s="7"/>
      <c r="L1488" s="5">
        <v>3.69</v>
      </c>
      <c r="M1488" s="5" t="s">
        <v>571</v>
      </c>
      <c r="N1488" s="5">
        <v>27.71</v>
      </c>
      <c r="O1488" s="5">
        <v>16.5</v>
      </c>
      <c r="P1488" s="5">
        <v>4.33</v>
      </c>
      <c r="Q1488" s="2" t="s">
        <v>18</v>
      </c>
      <c r="R1488" s="5">
        <v>16.03</v>
      </c>
      <c r="S1488" s="5">
        <v>7.47</v>
      </c>
      <c r="V1488" s="5"/>
      <c r="W1488" s="6" t="s">
        <v>4452</v>
      </c>
    </row>
    <row r="1489" spans="1:58" s="26" customFormat="1" x14ac:dyDescent="0.15">
      <c r="A1489" s="2" t="s">
        <v>221</v>
      </c>
      <c r="B1489" s="2" t="s">
        <v>3930</v>
      </c>
      <c r="C1489" s="2" t="s">
        <v>27</v>
      </c>
      <c r="D1489" s="2" t="s">
        <v>773</v>
      </c>
      <c r="E1489" s="1"/>
      <c r="F1489" s="2" t="s">
        <v>230</v>
      </c>
      <c r="G1489" s="2">
        <v>42</v>
      </c>
      <c r="H1489" s="2" t="str">
        <f t="shared" si="48"/>
        <v>W</v>
      </c>
      <c r="I1489" s="5">
        <v>10.25</v>
      </c>
      <c r="J1489" s="5">
        <v>271.3</v>
      </c>
      <c r="K1489" s="5">
        <v>11</v>
      </c>
      <c r="L1489" s="5">
        <v>6.48</v>
      </c>
      <c r="M1489" s="2" t="s">
        <v>571</v>
      </c>
      <c r="N1489" s="5">
        <v>26.74</v>
      </c>
      <c r="O1489" s="5">
        <v>16.22</v>
      </c>
      <c r="P1489" s="5">
        <v>4.25</v>
      </c>
      <c r="Q1489" s="2" t="s">
        <v>18</v>
      </c>
      <c r="R1489" s="5">
        <v>27.54</v>
      </c>
      <c r="S1489" s="5">
        <f>(R1489/J1489)*100</f>
        <v>10.151124216734242</v>
      </c>
      <c r="T1489" s="2">
        <v>0.75</v>
      </c>
      <c r="U1489" s="2" t="str">
        <f>IF(T1489&lt;=1, "1",IF(AND(T1489&gt;1,T1489&lt;4), "2-3", "+4"))</f>
        <v>1</v>
      </c>
      <c r="V1489" s="5">
        <f>S1489*T1489</f>
        <v>7.6133431625506818</v>
      </c>
      <c r="W1489" s="6" t="s">
        <v>1841</v>
      </c>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row>
    <row r="1490" spans="1:58" s="26" customFormat="1" x14ac:dyDescent="0.15">
      <c r="A1490" s="2" t="s">
        <v>221</v>
      </c>
      <c r="B1490" s="2" t="s">
        <v>3930</v>
      </c>
      <c r="C1490" s="2" t="s">
        <v>27</v>
      </c>
      <c r="D1490" s="2" t="s">
        <v>773</v>
      </c>
      <c r="E1490" s="1"/>
      <c r="F1490" s="2" t="s">
        <v>4449</v>
      </c>
      <c r="G1490" s="2">
        <v>40.119999999999997</v>
      </c>
      <c r="H1490" s="2" t="str">
        <f t="shared" si="48"/>
        <v>W</v>
      </c>
      <c r="I1490" s="5">
        <v>10.45</v>
      </c>
      <c r="J1490" s="5">
        <v>247</v>
      </c>
      <c r="K1490" s="5"/>
      <c r="L1490" s="5">
        <v>5.67</v>
      </c>
      <c r="M1490" s="2" t="s">
        <v>571</v>
      </c>
      <c r="N1490" s="5">
        <v>26.96</v>
      </c>
      <c r="O1490" s="5">
        <v>16.170000000000002</v>
      </c>
      <c r="P1490" s="5">
        <v>4.17</v>
      </c>
      <c r="Q1490" s="2" t="s">
        <v>18</v>
      </c>
      <c r="R1490" s="5">
        <v>23.04</v>
      </c>
      <c r="S1490" s="5">
        <v>9.1199999999999992</v>
      </c>
      <c r="T1490" s="2">
        <v>1</v>
      </c>
      <c r="U1490" s="2">
        <v>1</v>
      </c>
      <c r="V1490" s="5">
        <v>9.1199999999999992</v>
      </c>
      <c r="W1490" s="6" t="s">
        <v>4450</v>
      </c>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c r="AW1490" s="2"/>
      <c r="AX1490" s="2"/>
      <c r="AY1490" s="2"/>
      <c r="AZ1490" s="2"/>
      <c r="BA1490" s="2"/>
      <c r="BB1490" s="2"/>
      <c r="BC1490" s="2"/>
      <c r="BD1490" s="2"/>
      <c r="BE1490" s="2"/>
      <c r="BF1490" s="2"/>
    </row>
    <row r="1491" spans="1:58" s="26" customFormat="1" x14ac:dyDescent="0.15">
      <c r="A1491" s="2" t="s">
        <v>221</v>
      </c>
      <c r="B1491" s="2" t="s">
        <v>3930</v>
      </c>
      <c r="C1491" s="2" t="s">
        <v>27</v>
      </c>
      <c r="D1491" s="2" t="s">
        <v>773</v>
      </c>
      <c r="E1491" s="1"/>
      <c r="F1491" s="2" t="s">
        <v>232</v>
      </c>
      <c r="G1491" s="2">
        <v>33.200000000000003</v>
      </c>
      <c r="H1491" s="2" t="str">
        <f t="shared" si="48"/>
        <v>W</v>
      </c>
      <c r="I1491" s="5">
        <v>10.4</v>
      </c>
      <c r="J1491" s="5">
        <v>244</v>
      </c>
      <c r="K1491" s="5"/>
      <c r="L1491" s="5">
        <v>5</v>
      </c>
      <c r="M1491" s="2" t="s">
        <v>571</v>
      </c>
      <c r="N1491" s="5">
        <v>28.82</v>
      </c>
      <c r="O1491" s="5">
        <v>16.82</v>
      </c>
      <c r="P1491" s="5">
        <v>4.88</v>
      </c>
      <c r="Q1491" s="2" t="s">
        <v>18</v>
      </c>
      <c r="R1491" s="5">
        <v>24.42</v>
      </c>
      <c r="S1491" s="5">
        <v>10.02</v>
      </c>
      <c r="T1491" s="2"/>
      <c r="U1491" s="2"/>
      <c r="V1491" s="5"/>
      <c r="W1491" s="6" t="s">
        <v>4450</v>
      </c>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row>
    <row r="1492" spans="1:58" x14ac:dyDescent="0.15">
      <c r="A1492" s="2" t="s">
        <v>221</v>
      </c>
      <c r="B1492" s="2" t="s">
        <v>3930</v>
      </c>
      <c r="C1492" s="2" t="s">
        <v>27</v>
      </c>
      <c r="D1492" s="2" t="s">
        <v>773</v>
      </c>
      <c r="E1492" s="1"/>
      <c r="F1492" s="2" t="s">
        <v>1012</v>
      </c>
      <c r="G1492" s="2">
        <v>36.44</v>
      </c>
      <c r="H1492" s="2" t="str">
        <f t="shared" si="48"/>
        <v>W</v>
      </c>
      <c r="I1492" s="5">
        <v>9.59</v>
      </c>
      <c r="J1492" s="5">
        <v>228.4</v>
      </c>
      <c r="K1492" s="7"/>
      <c r="L1492" s="31">
        <v>1.57</v>
      </c>
      <c r="M1492" s="5" t="s">
        <v>571</v>
      </c>
      <c r="N1492" s="5">
        <v>30.75</v>
      </c>
      <c r="O1492" s="5">
        <v>17.39</v>
      </c>
      <c r="P1492" s="5">
        <f xml:space="preserve"> 0.148*N1492+ 0.512*O1492 - 8.049</f>
        <v>5.4056800000000003</v>
      </c>
      <c r="Q1492" s="2" t="s">
        <v>376</v>
      </c>
      <c r="R1492" s="5">
        <v>8.49</v>
      </c>
      <c r="S1492" s="5">
        <v>3.72</v>
      </c>
      <c r="T1492" s="2">
        <v>1</v>
      </c>
      <c r="U1492" s="2" t="str">
        <f>IF(T1492&lt;=1, "1",IF(AND(T1492&gt;1,T1492&lt;4), "2-3", "+4"))</f>
        <v>1</v>
      </c>
      <c r="V1492" s="5">
        <f>S1492*T1492</f>
        <v>3.72</v>
      </c>
      <c r="W1492" s="6" t="s">
        <v>2905</v>
      </c>
    </row>
    <row r="1493" spans="1:58" x14ac:dyDescent="0.15">
      <c r="A1493" s="2" t="s">
        <v>221</v>
      </c>
      <c r="B1493" s="2" t="s">
        <v>3930</v>
      </c>
      <c r="C1493" s="2" t="s">
        <v>27</v>
      </c>
      <c r="D1493" s="2" t="s">
        <v>773</v>
      </c>
      <c r="E1493" s="1"/>
      <c r="F1493" s="2" t="s">
        <v>229</v>
      </c>
      <c r="G1493" s="2">
        <v>33.58</v>
      </c>
      <c r="H1493" s="2" t="str">
        <f t="shared" si="48"/>
        <v>W</v>
      </c>
      <c r="I1493" s="5">
        <v>10.629999999999999</v>
      </c>
      <c r="J1493" s="5">
        <v>223.2</v>
      </c>
      <c r="K1493" s="5">
        <v>8</v>
      </c>
      <c r="L1493" s="5">
        <v>4.8600000000000003</v>
      </c>
      <c r="M1493" s="2" t="s">
        <v>571</v>
      </c>
      <c r="N1493" s="5">
        <v>26.9</v>
      </c>
      <c r="O1493" s="5">
        <v>16.600000000000001</v>
      </c>
      <c r="P1493" s="5">
        <v>4.84</v>
      </c>
      <c r="Q1493" s="2" t="s">
        <v>18</v>
      </c>
      <c r="R1493" s="5">
        <f>P1493*L1493</f>
        <v>23.522400000000001</v>
      </c>
      <c r="S1493" s="5">
        <f>(R1493/J1493)*100</f>
        <v>10.538709677419355</v>
      </c>
      <c r="T1493" s="2">
        <v>1</v>
      </c>
      <c r="U1493" s="2" t="str">
        <f>IF(T1493&lt;=1, "1",IF(AND(T1493&gt;1,T1493&lt;4), "2-3", "+4"))</f>
        <v>1</v>
      </c>
      <c r="V1493" s="5">
        <f>S1493*T1493</f>
        <v>10.538709677419355</v>
      </c>
      <c r="W1493" s="6" t="s">
        <v>1840</v>
      </c>
    </row>
    <row r="1494" spans="1:58" x14ac:dyDescent="0.15">
      <c r="A1494" s="2" t="s">
        <v>221</v>
      </c>
      <c r="B1494" s="2" t="s">
        <v>3930</v>
      </c>
      <c r="C1494" s="2" t="s">
        <v>27</v>
      </c>
      <c r="D1494" s="2" t="s">
        <v>773</v>
      </c>
      <c r="E1494" s="1"/>
      <c r="F1494" s="2" t="s">
        <v>2277</v>
      </c>
      <c r="H1494" s="2" t="s">
        <v>3887</v>
      </c>
      <c r="I1494" s="5"/>
      <c r="J1494" s="5"/>
      <c r="K1494" s="5"/>
      <c r="L1494" s="5">
        <v>5</v>
      </c>
      <c r="M1494" s="5" t="s">
        <v>571</v>
      </c>
      <c r="N1494" s="5">
        <v>27.5</v>
      </c>
      <c r="O1494" s="5">
        <v>16.5</v>
      </c>
      <c r="P1494" s="5">
        <v>4.47</v>
      </c>
      <c r="Q1494" s="2" t="s">
        <v>376</v>
      </c>
      <c r="R1494" s="5">
        <v>22.344999999999999</v>
      </c>
      <c r="S1494" s="5"/>
      <c r="W1494" s="6" t="s">
        <v>2907</v>
      </c>
    </row>
    <row r="1495" spans="1:58" x14ac:dyDescent="0.15">
      <c r="A1495" s="2" t="s">
        <v>221</v>
      </c>
      <c r="B1495" s="2" t="s">
        <v>3930</v>
      </c>
      <c r="C1495" s="2" t="s">
        <v>27</v>
      </c>
      <c r="D1495" s="2" t="s">
        <v>773</v>
      </c>
      <c r="E1495" s="1"/>
      <c r="F1495" s="2" t="s">
        <v>229</v>
      </c>
      <c r="G1495" s="2" t="s">
        <v>374</v>
      </c>
      <c r="H1495" s="2" t="str">
        <f t="shared" si="48"/>
        <v>C</v>
      </c>
      <c r="I1495" s="5">
        <v>11.72</v>
      </c>
      <c r="J1495" s="5">
        <v>319.7</v>
      </c>
      <c r="K1495" s="5"/>
      <c r="L1495" s="5">
        <v>4</v>
      </c>
      <c r="M1495" s="5" t="s">
        <v>571</v>
      </c>
      <c r="N1495" s="5">
        <v>28.2</v>
      </c>
      <c r="O1495" s="5">
        <v>16.7</v>
      </c>
      <c r="P1495" s="5">
        <v>4.8</v>
      </c>
      <c r="Q1495" s="2" t="s">
        <v>18</v>
      </c>
      <c r="R1495" s="5">
        <v>19.2</v>
      </c>
      <c r="S1495" s="5">
        <v>6.01</v>
      </c>
      <c r="T1495" s="2">
        <v>1</v>
      </c>
      <c r="U1495" s="2" t="str">
        <f>IF(T1495&lt;=1, "1",IF(AND(T1495&gt;1,T1495&lt;4), "2-3", "+4"))</f>
        <v>1</v>
      </c>
      <c r="V1495" s="5">
        <f>S1495*T1495</f>
        <v>6.01</v>
      </c>
      <c r="W1495" s="6" t="s">
        <v>2908</v>
      </c>
    </row>
    <row r="1496" spans="1:58" x14ac:dyDescent="0.15">
      <c r="A1496" s="2" t="s">
        <v>221</v>
      </c>
      <c r="B1496" s="2" t="s">
        <v>3930</v>
      </c>
      <c r="C1496" s="2" t="s">
        <v>27</v>
      </c>
      <c r="D1496" s="2" t="s">
        <v>370</v>
      </c>
      <c r="E1496" s="1"/>
      <c r="F1496" s="2" t="s">
        <v>374</v>
      </c>
      <c r="G1496" s="2" t="s">
        <v>374</v>
      </c>
      <c r="H1496" s="2" t="str">
        <f t="shared" si="48"/>
        <v>C</v>
      </c>
      <c r="I1496" s="5">
        <v>15.05</v>
      </c>
      <c r="J1496" s="5">
        <v>489.5</v>
      </c>
      <c r="K1496" s="5"/>
      <c r="L1496" s="5">
        <v>6.125</v>
      </c>
      <c r="M1496" s="5" t="s">
        <v>571</v>
      </c>
      <c r="N1496" s="5"/>
      <c r="O1496" s="5"/>
      <c r="P1496" s="5"/>
      <c r="R1496" s="5"/>
      <c r="S1496" s="5"/>
      <c r="T1496" s="2">
        <v>3</v>
      </c>
      <c r="U1496" s="2" t="str">
        <f>IF(T1496&lt;=1, "1",IF(AND(T1496&gt;1,T1496&lt;4), "2-3", "+4"))</f>
        <v>2-3</v>
      </c>
      <c r="V1496" s="5"/>
      <c r="W1496" s="6" t="s">
        <v>2530</v>
      </c>
    </row>
    <row r="1497" spans="1:58" x14ac:dyDescent="0.15">
      <c r="A1497" s="2" t="s">
        <v>221</v>
      </c>
      <c r="B1497" s="2" t="s">
        <v>3930</v>
      </c>
      <c r="C1497" s="2" t="s">
        <v>27</v>
      </c>
      <c r="D1497" s="2" t="s">
        <v>370</v>
      </c>
      <c r="E1497" s="1"/>
      <c r="F1497" s="2" t="s">
        <v>371</v>
      </c>
      <c r="G1497" s="2" t="s">
        <v>374</v>
      </c>
      <c r="H1497" s="2" t="str">
        <f t="shared" si="48"/>
        <v>C</v>
      </c>
      <c r="I1497" s="5"/>
      <c r="J1497" s="5"/>
      <c r="K1497" s="5"/>
      <c r="L1497" s="5">
        <v>8</v>
      </c>
      <c r="M1497" s="5" t="s">
        <v>571</v>
      </c>
      <c r="N1497" s="5"/>
      <c r="O1497" s="5"/>
      <c r="P1497" s="5"/>
      <c r="R1497" s="5"/>
      <c r="S1497" s="5"/>
      <c r="T1497" s="2" t="s">
        <v>372</v>
      </c>
      <c r="U1497" s="40" t="s">
        <v>395</v>
      </c>
      <c r="V1497" s="5"/>
      <c r="W1497" s="6" t="s">
        <v>3645</v>
      </c>
    </row>
    <row r="1498" spans="1:58" x14ac:dyDescent="0.15">
      <c r="A1498" s="2" t="s">
        <v>221</v>
      </c>
      <c r="B1498" s="2" t="s">
        <v>3930</v>
      </c>
      <c r="C1498" s="2" t="s">
        <v>27</v>
      </c>
      <c r="D1498" s="2" t="s">
        <v>370</v>
      </c>
      <c r="E1498" s="1"/>
      <c r="F1498" s="2" t="s">
        <v>233</v>
      </c>
      <c r="G1498" s="2">
        <v>23</v>
      </c>
      <c r="H1498" s="2" t="str">
        <f t="shared" si="48"/>
        <v>W</v>
      </c>
      <c r="I1498" s="5">
        <v>14.31</v>
      </c>
      <c r="J1498" s="5">
        <v>486</v>
      </c>
      <c r="K1498" s="5"/>
      <c r="L1498" s="5">
        <v>2</v>
      </c>
      <c r="M1498" s="2" t="s">
        <v>571</v>
      </c>
      <c r="N1498" s="5">
        <v>35</v>
      </c>
      <c r="O1498" s="5">
        <v>18</v>
      </c>
      <c r="P1498" s="5">
        <v>6.95</v>
      </c>
      <c r="Q1498" s="2" t="s">
        <v>18</v>
      </c>
      <c r="R1498" s="5">
        <v>13.9</v>
      </c>
      <c r="S1498" s="5">
        <f>(R1498/J1498)*100</f>
        <v>2.8600823045267494</v>
      </c>
      <c r="V1498" s="5"/>
      <c r="W1498" s="6" t="s">
        <v>1843</v>
      </c>
    </row>
    <row r="1499" spans="1:58" x14ac:dyDescent="0.15">
      <c r="A1499" s="2" t="s">
        <v>221</v>
      </c>
      <c r="B1499" s="2" t="s">
        <v>3930</v>
      </c>
      <c r="C1499" s="2" t="s">
        <v>27</v>
      </c>
      <c r="D1499" s="2" t="s">
        <v>370</v>
      </c>
      <c r="E1499" s="1"/>
      <c r="F1499" s="2" t="s">
        <v>92</v>
      </c>
      <c r="G1499" s="2">
        <v>20.21</v>
      </c>
      <c r="H1499" s="2" t="str">
        <f t="shared" si="48"/>
        <v>W</v>
      </c>
      <c r="I1499" s="5">
        <v>12.7</v>
      </c>
      <c r="J1499" s="5">
        <f xml:space="preserve"> 0.1136*I1499^3.095</f>
        <v>296.24487629045478</v>
      </c>
      <c r="K1499" s="5"/>
      <c r="L1499" s="5">
        <v>3.7</v>
      </c>
      <c r="M1499" s="5" t="s">
        <v>571</v>
      </c>
      <c r="N1499" s="5">
        <v>30.3</v>
      </c>
      <c r="O1499" s="5">
        <v>17.600000000000001</v>
      </c>
      <c r="P1499" s="5">
        <f xml:space="preserve"> (0.201*N1499) + (0.675*O1499) - 12.269</f>
        <v>5.7013000000000016</v>
      </c>
      <c r="Q1499" s="2" t="s">
        <v>376</v>
      </c>
      <c r="R1499" s="5">
        <f>P1499*L1499</f>
        <v>21.094810000000006</v>
      </c>
      <c r="S1499" s="5">
        <f>(R1499/J1499)*100</f>
        <v>7.1207341251422998</v>
      </c>
      <c r="T1499" s="5">
        <v>2</v>
      </c>
      <c r="U1499" s="2" t="str">
        <f>IF(T1499&lt;=1, "1",IF(AND(T1499&gt;1,T1499&lt;4), "2-3", "+4"))</f>
        <v>2-3</v>
      </c>
      <c r="V1499" s="5">
        <f>S1499*T1499</f>
        <v>14.2414682502846</v>
      </c>
      <c r="W1499" s="6" t="s">
        <v>2213</v>
      </c>
    </row>
    <row r="1500" spans="1:58" x14ac:dyDescent="0.15">
      <c r="A1500" s="2" t="s">
        <v>221</v>
      </c>
      <c r="B1500" s="2" t="s">
        <v>3930</v>
      </c>
      <c r="C1500" s="2" t="s">
        <v>27</v>
      </c>
      <c r="D1500" s="2" t="s">
        <v>370</v>
      </c>
      <c r="E1500" s="1"/>
      <c r="F1500" s="2" t="s">
        <v>379</v>
      </c>
      <c r="G1500" s="2">
        <v>18.89</v>
      </c>
      <c r="H1500" s="2" t="str">
        <f t="shared" si="48"/>
        <v>W</v>
      </c>
      <c r="I1500" s="5">
        <v>13.25</v>
      </c>
      <c r="J1500" s="5">
        <v>337.8</v>
      </c>
      <c r="K1500" s="7"/>
      <c r="L1500" s="5">
        <v>3.5</v>
      </c>
      <c r="M1500" s="2" t="s">
        <v>571</v>
      </c>
      <c r="N1500" s="5">
        <v>32.299999999999997</v>
      </c>
      <c r="O1500" s="5">
        <v>16.93</v>
      </c>
      <c r="P1500" s="5">
        <f xml:space="preserve"> (0.201*N1500) + (0.675*O1500) - 12.269</f>
        <v>5.6510500000000032</v>
      </c>
      <c r="Q1500" s="2" t="s">
        <v>376</v>
      </c>
      <c r="R1500" s="5">
        <v>19.510000000000002</v>
      </c>
      <c r="S1500" s="5">
        <v>5.78</v>
      </c>
      <c r="V1500" s="5"/>
      <c r="W1500" s="6" t="s">
        <v>2038</v>
      </c>
    </row>
    <row r="1501" spans="1:58" x14ac:dyDescent="0.15">
      <c r="A1501" s="2" t="s">
        <v>221</v>
      </c>
      <c r="B1501" s="2" t="s">
        <v>3930</v>
      </c>
      <c r="C1501" s="2" t="s">
        <v>27</v>
      </c>
      <c r="D1501" s="2" t="s">
        <v>370</v>
      </c>
      <c r="E1501" s="1"/>
      <c r="F1501" s="2" t="s">
        <v>4113</v>
      </c>
      <c r="G1501" s="2">
        <v>20.149999999999999</v>
      </c>
      <c r="H1501" s="2" t="str">
        <f t="shared" si="48"/>
        <v>W</v>
      </c>
      <c r="I1501" s="5">
        <v>12.64</v>
      </c>
      <c r="J1501" s="5">
        <v>438.4</v>
      </c>
      <c r="K1501" s="7"/>
      <c r="L1501" s="5">
        <v>3.4</v>
      </c>
      <c r="M1501" s="2" t="s">
        <v>571</v>
      </c>
      <c r="N1501" s="5"/>
      <c r="O1501" s="5"/>
      <c r="P1501" s="5"/>
      <c r="R1501" s="5"/>
      <c r="S1501" s="5"/>
      <c r="T1501" s="2" t="s">
        <v>382</v>
      </c>
      <c r="U1501" s="9" t="s">
        <v>395</v>
      </c>
      <c r="V1501" s="5"/>
      <c r="W1501" s="6" t="s">
        <v>4114</v>
      </c>
    </row>
    <row r="1502" spans="1:58" x14ac:dyDescent="0.15">
      <c r="A1502" s="2" t="s">
        <v>221</v>
      </c>
      <c r="B1502" s="2" t="s">
        <v>3930</v>
      </c>
      <c r="C1502" s="2" t="s">
        <v>27</v>
      </c>
      <c r="D1502" s="2" t="s">
        <v>370</v>
      </c>
      <c r="E1502" s="1"/>
      <c r="F1502" s="2" t="s">
        <v>374</v>
      </c>
      <c r="G1502" s="2" t="s">
        <v>374</v>
      </c>
      <c r="H1502" s="2" t="str">
        <f t="shared" si="48"/>
        <v>C</v>
      </c>
      <c r="I1502" s="5"/>
      <c r="J1502" s="5"/>
      <c r="K1502" s="5"/>
      <c r="L1502" s="5">
        <v>3</v>
      </c>
      <c r="M1502" s="5" t="s">
        <v>571</v>
      </c>
      <c r="N1502" s="5">
        <v>28</v>
      </c>
      <c r="O1502" s="5">
        <v>19</v>
      </c>
      <c r="P1502" s="5">
        <f xml:space="preserve"> (0.201*N1502) + (0.675*O1502) - 12.269</f>
        <v>6.1840000000000028</v>
      </c>
      <c r="Q1502" s="2" t="s">
        <v>376</v>
      </c>
      <c r="R1502" s="5">
        <f>P1502*L1502</f>
        <v>18.552000000000007</v>
      </c>
      <c r="S1502" s="5"/>
      <c r="T1502" s="2">
        <v>2</v>
      </c>
      <c r="U1502" s="2" t="str">
        <f>IF(T1502&lt;=1, "1",IF(AND(T1502&gt;1,T1502&lt;4), "2-3", "+4"))</f>
        <v>2-3</v>
      </c>
      <c r="V1502" s="5"/>
      <c r="W1502" s="6" t="s">
        <v>3143</v>
      </c>
    </row>
    <row r="1503" spans="1:58" x14ac:dyDescent="0.15">
      <c r="A1503" s="2" t="s">
        <v>221</v>
      </c>
      <c r="B1503" s="2" t="s">
        <v>3930</v>
      </c>
      <c r="C1503" s="2" t="s">
        <v>27</v>
      </c>
      <c r="D1503" s="2" t="s">
        <v>774</v>
      </c>
      <c r="F1503" s="2" t="s">
        <v>3993</v>
      </c>
      <c r="G1503" s="2">
        <v>19.5</v>
      </c>
      <c r="H1503" s="2" t="str">
        <f t="shared" si="48"/>
        <v>W</v>
      </c>
      <c r="I1503" s="5">
        <v>10.923</v>
      </c>
      <c r="J1503" s="5">
        <v>223</v>
      </c>
      <c r="K1503" s="5"/>
      <c r="L1503" s="5">
        <v>3.22</v>
      </c>
      <c r="M1503" s="2" t="s">
        <v>571</v>
      </c>
      <c r="N1503" s="5"/>
      <c r="O1503" s="5">
        <v>17.010000000000002</v>
      </c>
      <c r="P1503" s="5">
        <v>5.0670000000000002</v>
      </c>
      <c r="Q1503" s="2" t="s">
        <v>376</v>
      </c>
      <c r="R1503" s="5">
        <v>16.309999999999999</v>
      </c>
      <c r="S1503" s="5">
        <v>7.72</v>
      </c>
      <c r="V1503" s="5"/>
      <c r="W1503" s="6" t="s">
        <v>3996</v>
      </c>
    </row>
    <row r="1504" spans="1:58" x14ac:dyDescent="0.15">
      <c r="A1504" s="2" t="s">
        <v>221</v>
      </c>
      <c r="B1504" s="2" t="s">
        <v>3930</v>
      </c>
      <c r="C1504" s="2" t="s">
        <v>27</v>
      </c>
      <c r="D1504" s="2" t="s">
        <v>774</v>
      </c>
      <c r="E1504" s="1"/>
      <c r="F1504" s="2" t="s">
        <v>3279</v>
      </c>
      <c r="G1504" s="2">
        <v>30.12</v>
      </c>
      <c r="H1504" s="2" t="str">
        <f t="shared" si="48"/>
        <v>W</v>
      </c>
      <c r="I1504" s="5">
        <v>11.047000000000001</v>
      </c>
      <c r="J1504" s="5">
        <v>215.34</v>
      </c>
      <c r="K1504" s="7">
        <f>MEDIAN(6,8)</f>
        <v>7</v>
      </c>
      <c r="L1504" s="5">
        <v>3</v>
      </c>
      <c r="M1504" s="2" t="s">
        <v>571</v>
      </c>
      <c r="N1504" s="5">
        <v>28.89</v>
      </c>
      <c r="O1504" s="5">
        <v>16.34</v>
      </c>
      <c r="P1504" s="5">
        <v>4.82</v>
      </c>
      <c r="Q1504" s="2" t="s">
        <v>18</v>
      </c>
      <c r="R1504" s="5">
        <v>14.41</v>
      </c>
      <c r="S1504" s="5">
        <v>6.69</v>
      </c>
      <c r="T1504" s="9">
        <f>MEDIAN(3,4)</f>
        <v>3.5</v>
      </c>
      <c r="U1504" s="2" t="str">
        <f>IF(T1504&lt;=1, "1",IF(AND(T1504&gt;1,T1504&lt;4), "2-3", "+4"))</f>
        <v>2-3</v>
      </c>
      <c r="V1504" s="5">
        <f>S1504*T1504</f>
        <v>23.415000000000003</v>
      </c>
      <c r="W1504" s="6" t="s">
        <v>1844</v>
      </c>
    </row>
    <row r="1505" spans="1:23" x14ac:dyDescent="0.15">
      <c r="A1505" s="2" t="s">
        <v>221</v>
      </c>
      <c r="B1505" s="2" t="s">
        <v>3930</v>
      </c>
      <c r="C1505" s="2" t="s">
        <v>27</v>
      </c>
      <c r="D1505" s="2" t="s">
        <v>774</v>
      </c>
      <c r="E1505" s="1"/>
      <c r="F1505" s="2" t="s">
        <v>234</v>
      </c>
      <c r="G1505" s="2">
        <v>30</v>
      </c>
      <c r="H1505" s="2" t="str">
        <f t="shared" si="48"/>
        <v>W</v>
      </c>
      <c r="I1505" s="5">
        <v>14.2</v>
      </c>
      <c r="J1505" s="5">
        <f>0.1931*I1505^2.887</f>
        <v>409.67430348798388</v>
      </c>
      <c r="K1505" s="5">
        <v>7.1</v>
      </c>
      <c r="L1505" s="5">
        <v>3.1</v>
      </c>
      <c r="M1505" s="2" t="s">
        <v>571</v>
      </c>
      <c r="N1505" s="5">
        <v>28.7</v>
      </c>
      <c r="O1505" s="5">
        <v>17.5</v>
      </c>
      <c r="P1505" s="5">
        <v>5.3</v>
      </c>
      <c r="Q1505" s="2" t="s">
        <v>18</v>
      </c>
      <c r="R1505" s="5">
        <v>17.5</v>
      </c>
      <c r="S1505" s="5">
        <f>0.035*100</f>
        <v>3.5000000000000004</v>
      </c>
      <c r="V1505" s="5"/>
      <c r="W1505" s="6" t="s">
        <v>2042</v>
      </c>
    </row>
    <row r="1506" spans="1:23" x14ac:dyDescent="0.15">
      <c r="A1506" s="1" t="s">
        <v>221</v>
      </c>
      <c r="B1506" s="2" t="s">
        <v>3930</v>
      </c>
      <c r="C1506" s="2" t="s">
        <v>27</v>
      </c>
      <c r="D1506" s="1" t="s">
        <v>775</v>
      </c>
      <c r="E1506" s="1"/>
      <c r="F1506" s="1" t="s">
        <v>374</v>
      </c>
      <c r="G1506" s="1" t="s">
        <v>374</v>
      </c>
      <c r="H1506" s="2" t="str">
        <f t="shared" si="48"/>
        <v>C</v>
      </c>
      <c r="I1506" s="8">
        <v>13</v>
      </c>
      <c r="J1506" s="8">
        <v>313.36</v>
      </c>
      <c r="K1506" s="8"/>
      <c r="L1506" s="8">
        <v>4</v>
      </c>
      <c r="M1506" s="2" t="s">
        <v>571</v>
      </c>
      <c r="N1506" s="8"/>
      <c r="O1506" s="8"/>
      <c r="P1506" s="8"/>
      <c r="Q1506" s="1"/>
      <c r="R1506" s="8"/>
      <c r="S1506" s="8"/>
      <c r="T1506" s="1"/>
      <c r="U1506" s="1"/>
      <c r="V1506" s="8"/>
      <c r="W1506" s="6" t="s">
        <v>3596</v>
      </c>
    </row>
    <row r="1507" spans="1:23" x14ac:dyDescent="0.15">
      <c r="A1507" s="2" t="s">
        <v>221</v>
      </c>
      <c r="B1507" s="2" t="s">
        <v>3930</v>
      </c>
      <c r="C1507" s="2" t="s">
        <v>27</v>
      </c>
      <c r="D1507" s="2" t="s">
        <v>775</v>
      </c>
      <c r="E1507" s="1"/>
      <c r="F1507" s="2" t="s">
        <v>2757</v>
      </c>
      <c r="H1507" s="2" t="s">
        <v>3887</v>
      </c>
      <c r="I1507" s="5">
        <v>15.14</v>
      </c>
      <c r="J1507" s="5">
        <v>483.5</v>
      </c>
      <c r="K1507" s="7"/>
      <c r="L1507" s="5">
        <v>4.99</v>
      </c>
      <c r="M1507" s="2" t="s">
        <v>571</v>
      </c>
      <c r="N1507" s="5">
        <v>32.049999999999997</v>
      </c>
      <c r="O1507" s="5">
        <v>17.329999999999998</v>
      </c>
      <c r="P1507" s="5">
        <f xml:space="preserve"> 0.201*N1507+ 0.675*O1507 - 12.269</f>
        <v>5.8708000000000009</v>
      </c>
      <c r="Q1507" s="2" t="s">
        <v>376</v>
      </c>
      <c r="R1507" s="5">
        <v>29.3</v>
      </c>
      <c r="S1507" s="5">
        <v>6.06</v>
      </c>
      <c r="V1507" s="5"/>
      <c r="W1507" s="6" t="s">
        <v>2909</v>
      </c>
    </row>
    <row r="1508" spans="1:23" x14ac:dyDescent="0.15">
      <c r="A1508" s="2" t="s">
        <v>221</v>
      </c>
      <c r="B1508" s="2" t="s">
        <v>3930</v>
      </c>
      <c r="C1508" s="2" t="s">
        <v>27</v>
      </c>
      <c r="D1508" s="2" t="s">
        <v>775</v>
      </c>
      <c r="E1508" s="1"/>
      <c r="F1508" s="2" t="s">
        <v>2758</v>
      </c>
      <c r="G1508" s="2">
        <v>20.3</v>
      </c>
      <c r="H1508" s="2" t="str">
        <f t="shared" si="48"/>
        <v>W</v>
      </c>
      <c r="I1508" s="5">
        <v>15.02</v>
      </c>
      <c r="J1508" s="5">
        <v>471.7</v>
      </c>
      <c r="K1508" s="7"/>
      <c r="L1508" s="5">
        <v>5.5</v>
      </c>
      <c r="M1508" s="2" t="s">
        <v>571</v>
      </c>
      <c r="N1508" s="5">
        <v>30.93</v>
      </c>
      <c r="O1508" s="5">
        <v>16.829999999999998</v>
      </c>
      <c r="P1508" s="5">
        <f xml:space="preserve"> 0.201*N1508+ 0.675*O1508 - 12.269</f>
        <v>5.3081799999999983</v>
      </c>
      <c r="Q1508" s="2" t="s">
        <v>376</v>
      </c>
      <c r="R1508" s="5">
        <v>29.19</v>
      </c>
      <c r="S1508" s="5">
        <v>6.19</v>
      </c>
      <c r="V1508" s="5"/>
      <c r="W1508" s="6" t="s">
        <v>2909</v>
      </c>
    </row>
    <row r="1509" spans="1:23" x14ac:dyDescent="0.15">
      <c r="A1509" s="2" t="s">
        <v>221</v>
      </c>
      <c r="B1509" s="2" t="s">
        <v>3930</v>
      </c>
      <c r="C1509" s="2" t="s">
        <v>27</v>
      </c>
      <c r="D1509" s="2" t="s">
        <v>775</v>
      </c>
      <c r="E1509" s="1"/>
      <c r="F1509" s="2" t="s">
        <v>2756</v>
      </c>
      <c r="H1509" s="2" t="s">
        <v>3887</v>
      </c>
      <c r="I1509" s="5">
        <v>13.87</v>
      </c>
      <c r="J1509" s="5">
        <v>369.8</v>
      </c>
      <c r="K1509" s="7"/>
      <c r="L1509" s="5">
        <v>5.63</v>
      </c>
      <c r="M1509" s="2" t="s">
        <v>571</v>
      </c>
      <c r="N1509" s="5">
        <v>27.86</v>
      </c>
      <c r="O1509" s="5">
        <v>16.34</v>
      </c>
      <c r="P1509" s="5">
        <f xml:space="preserve"> 0.201*N1509+ 0.675*O1509 - 12.269</f>
        <v>4.3603600000000018</v>
      </c>
      <c r="Q1509" s="2" t="s">
        <v>376</v>
      </c>
      <c r="R1509" s="5">
        <v>26.79</v>
      </c>
      <c r="S1509" s="5">
        <v>7.25</v>
      </c>
      <c r="V1509" s="5"/>
      <c r="W1509" s="6" t="s">
        <v>2909</v>
      </c>
    </row>
    <row r="1510" spans="1:23" x14ac:dyDescent="0.15">
      <c r="A1510" s="2" t="s">
        <v>221</v>
      </c>
      <c r="B1510" s="2" t="s">
        <v>3930</v>
      </c>
      <c r="C1510" s="2" t="s">
        <v>27</v>
      </c>
      <c r="D1510" s="2" t="s">
        <v>775</v>
      </c>
      <c r="E1510" s="1"/>
      <c r="F1510" s="2" t="s">
        <v>243</v>
      </c>
      <c r="G1510" s="2">
        <v>18.8</v>
      </c>
      <c r="H1510" s="2" t="str">
        <f t="shared" si="48"/>
        <v>W</v>
      </c>
      <c r="I1510" s="5">
        <v>14.27</v>
      </c>
      <c r="J1510" s="5">
        <v>281.35000000000002</v>
      </c>
      <c r="K1510" s="5"/>
      <c r="L1510" s="5">
        <v>4</v>
      </c>
      <c r="M1510" s="2" t="s">
        <v>571</v>
      </c>
      <c r="N1510" s="5">
        <v>30.43</v>
      </c>
      <c r="O1510" s="5">
        <v>16.350000000000001</v>
      </c>
      <c r="P1510" s="5">
        <v>5.14</v>
      </c>
      <c r="Q1510" s="2" t="s">
        <v>18</v>
      </c>
      <c r="R1510" s="5">
        <f>P1510*L1510</f>
        <v>20.56</v>
      </c>
      <c r="S1510" s="5">
        <f>0.043*100</f>
        <v>4.3</v>
      </c>
      <c r="V1510" s="5"/>
      <c r="W1510" s="6" t="s">
        <v>2910</v>
      </c>
    </row>
    <row r="1511" spans="1:23" x14ac:dyDescent="0.15">
      <c r="A1511" s="2" t="s">
        <v>221</v>
      </c>
      <c r="B1511" s="2" t="s">
        <v>3930</v>
      </c>
      <c r="C1511" s="2" t="s">
        <v>27</v>
      </c>
      <c r="D1511" s="2" t="s">
        <v>775</v>
      </c>
      <c r="E1511" s="1"/>
      <c r="F1511" s="2" t="s">
        <v>237</v>
      </c>
      <c r="G1511" s="2">
        <v>19.100000000000001</v>
      </c>
      <c r="H1511" s="2" t="str">
        <f t="shared" si="48"/>
        <v>W</v>
      </c>
      <c r="I1511" s="5">
        <f>15.89/0.954</f>
        <v>16.656184486373167</v>
      </c>
      <c r="J1511" s="5">
        <v>587.9</v>
      </c>
      <c r="K1511" s="5">
        <v>13.25</v>
      </c>
      <c r="L1511" s="5">
        <v>6.9</v>
      </c>
      <c r="M1511" s="2" t="s">
        <v>571</v>
      </c>
      <c r="N1511" s="5">
        <v>30.4</v>
      </c>
      <c r="O1511" s="5">
        <v>17</v>
      </c>
      <c r="P1511" s="5">
        <v>5.4</v>
      </c>
      <c r="Q1511" s="2" t="s">
        <v>18</v>
      </c>
      <c r="R1511" s="5">
        <v>37</v>
      </c>
      <c r="S1511" s="5">
        <f t="shared" ref="S1511:S1517" si="49">(R1511/J1511)*100</f>
        <v>6.2935873447865287</v>
      </c>
      <c r="V1511" s="5"/>
      <c r="W1511" s="6" t="s">
        <v>2911</v>
      </c>
    </row>
    <row r="1512" spans="1:23" x14ac:dyDescent="0.15">
      <c r="A1512" s="2" t="s">
        <v>221</v>
      </c>
      <c r="B1512" s="2" t="s">
        <v>3930</v>
      </c>
      <c r="C1512" s="2" t="s">
        <v>27</v>
      </c>
      <c r="D1512" s="2" t="s">
        <v>775</v>
      </c>
      <c r="E1512" s="1"/>
      <c r="F1512" s="2" t="s">
        <v>242</v>
      </c>
      <c r="G1512" s="2">
        <v>16.829999999999998</v>
      </c>
      <c r="H1512" s="2" t="str">
        <f t="shared" ref="H1512:H1575" si="50">IF(G1512="captive","C","W")</f>
        <v>W</v>
      </c>
      <c r="I1512" s="5">
        <f>14.8/0.954</f>
        <v>15.513626834381553</v>
      </c>
      <c r="J1512" s="5">
        <v>311.8</v>
      </c>
      <c r="K1512" s="5"/>
      <c r="L1512" s="5">
        <v>3</v>
      </c>
      <c r="M1512" s="2" t="s">
        <v>571</v>
      </c>
      <c r="N1512" s="5">
        <v>30.1</v>
      </c>
      <c r="O1512" s="5">
        <v>15.1</v>
      </c>
      <c r="P1512" s="5">
        <v>4.2</v>
      </c>
      <c r="Q1512" s="2" t="s">
        <v>18</v>
      </c>
      <c r="R1512" s="5">
        <v>12.7</v>
      </c>
      <c r="S1512" s="5">
        <f t="shared" si="49"/>
        <v>4.0731237973059651</v>
      </c>
      <c r="V1512" s="5"/>
      <c r="W1512" s="6" t="s">
        <v>2911</v>
      </c>
    </row>
    <row r="1513" spans="1:23" x14ac:dyDescent="0.15">
      <c r="A1513" s="2" t="s">
        <v>221</v>
      </c>
      <c r="B1513" s="2" t="s">
        <v>3930</v>
      </c>
      <c r="C1513" s="2" t="s">
        <v>27</v>
      </c>
      <c r="D1513" s="2" t="s">
        <v>775</v>
      </c>
      <c r="E1513" s="1"/>
      <c r="F1513" s="2" t="s">
        <v>236</v>
      </c>
      <c r="G1513" s="2">
        <v>19.079999999999998</v>
      </c>
      <c r="H1513" s="2" t="str">
        <f t="shared" si="50"/>
        <v>W</v>
      </c>
      <c r="I1513" s="5">
        <f>13.25/0.954</f>
        <v>13.888888888888889</v>
      </c>
      <c r="J1513" s="5">
        <v>397.6</v>
      </c>
      <c r="K1513" s="5"/>
      <c r="L1513" s="5">
        <v>4</v>
      </c>
      <c r="M1513" s="2" t="s">
        <v>571</v>
      </c>
      <c r="N1513" s="5">
        <v>31.7</v>
      </c>
      <c r="O1513" s="5">
        <v>17.3</v>
      </c>
      <c r="P1513" s="5">
        <v>5.9</v>
      </c>
      <c r="Q1513" s="2" t="s">
        <v>18</v>
      </c>
      <c r="R1513" s="5">
        <v>23.1</v>
      </c>
      <c r="S1513" s="5">
        <f t="shared" si="49"/>
        <v>5.8098591549295771</v>
      </c>
      <c r="V1513" s="5"/>
      <c r="W1513" s="6" t="s">
        <v>2911</v>
      </c>
    </row>
    <row r="1514" spans="1:23" x14ac:dyDescent="0.15">
      <c r="A1514" s="2" t="s">
        <v>221</v>
      </c>
      <c r="B1514" s="2" t="s">
        <v>3930</v>
      </c>
      <c r="C1514" s="2" t="s">
        <v>27</v>
      </c>
      <c r="D1514" s="2" t="s">
        <v>775</v>
      </c>
      <c r="E1514" s="1"/>
      <c r="F1514" s="2" t="s">
        <v>239</v>
      </c>
      <c r="G1514" s="2">
        <v>18.84</v>
      </c>
      <c r="H1514" s="2" t="str">
        <f t="shared" si="50"/>
        <v>W</v>
      </c>
      <c r="I1514" s="5">
        <f>12.5/0.954</f>
        <v>13.10272536687631</v>
      </c>
      <c r="J1514" s="5">
        <v>315.3</v>
      </c>
      <c r="K1514" s="5"/>
      <c r="L1514" s="5">
        <v>4</v>
      </c>
      <c r="M1514" s="2" t="s">
        <v>571</v>
      </c>
      <c r="N1514" s="5">
        <v>31</v>
      </c>
      <c r="O1514" s="5">
        <v>16.5</v>
      </c>
      <c r="P1514" s="5">
        <v>5.6</v>
      </c>
      <c r="Q1514" s="2" t="s">
        <v>18</v>
      </c>
      <c r="R1514" s="5">
        <v>22.2</v>
      </c>
      <c r="S1514" s="5">
        <f t="shared" si="49"/>
        <v>7.0409134157944813</v>
      </c>
      <c r="V1514" s="5"/>
      <c r="W1514" s="6" t="s">
        <v>2911</v>
      </c>
    </row>
    <row r="1515" spans="1:23" x14ac:dyDescent="0.15">
      <c r="A1515" s="2" t="s">
        <v>221</v>
      </c>
      <c r="B1515" s="2" t="s">
        <v>3930</v>
      </c>
      <c r="C1515" s="2" t="s">
        <v>27</v>
      </c>
      <c r="D1515" s="2" t="s">
        <v>775</v>
      </c>
      <c r="E1515" s="1"/>
      <c r="F1515" s="2" t="s">
        <v>241</v>
      </c>
      <c r="G1515" s="2">
        <v>18.75</v>
      </c>
      <c r="H1515" s="2" t="str">
        <f t="shared" si="50"/>
        <v>W</v>
      </c>
      <c r="I1515" s="5">
        <f>13.78/0.954</f>
        <v>14.444444444444445</v>
      </c>
      <c r="J1515" s="5">
        <v>423.9</v>
      </c>
      <c r="K1515" s="5"/>
      <c r="L1515" s="5">
        <v>4.0999999999999996</v>
      </c>
      <c r="M1515" s="2" t="s">
        <v>571</v>
      </c>
      <c r="N1515" s="5">
        <v>30.8</v>
      </c>
      <c r="O1515" s="5">
        <v>16.3</v>
      </c>
      <c r="P1515" s="5">
        <v>5.2</v>
      </c>
      <c r="Q1515" s="2" t="s">
        <v>18</v>
      </c>
      <c r="R1515" s="5">
        <v>22.5</v>
      </c>
      <c r="S1515" s="5">
        <f t="shared" si="49"/>
        <v>5.3078556263269645</v>
      </c>
      <c r="V1515" s="5"/>
      <c r="W1515" s="6" t="s">
        <v>2911</v>
      </c>
    </row>
    <row r="1516" spans="1:23" x14ac:dyDescent="0.15">
      <c r="A1516" s="2" t="s">
        <v>221</v>
      </c>
      <c r="B1516" s="2" t="s">
        <v>3930</v>
      </c>
      <c r="C1516" s="2" t="s">
        <v>27</v>
      </c>
      <c r="D1516" s="2" t="s">
        <v>775</v>
      </c>
      <c r="E1516" s="1"/>
      <c r="F1516" s="2" t="s">
        <v>240</v>
      </c>
      <c r="G1516" s="2">
        <v>18.75</v>
      </c>
      <c r="H1516" s="2" t="str">
        <f t="shared" si="50"/>
        <v>W</v>
      </c>
      <c r="I1516" s="5">
        <f>13.36/0.954</f>
        <v>14.0041928721174</v>
      </c>
      <c r="J1516" s="5">
        <v>406.8</v>
      </c>
      <c r="K1516" s="5"/>
      <c r="L1516" s="5">
        <v>4.0999999999999996</v>
      </c>
      <c r="M1516" s="2" t="s">
        <v>571</v>
      </c>
      <c r="N1516" s="5">
        <v>31.1</v>
      </c>
      <c r="O1516" s="5">
        <v>16.100000000000001</v>
      </c>
      <c r="P1516" s="5">
        <v>5.0999999999999996</v>
      </c>
      <c r="Q1516" s="2" t="s">
        <v>18</v>
      </c>
      <c r="R1516" s="5">
        <v>20.8</v>
      </c>
      <c r="S1516" s="5">
        <f t="shared" si="49"/>
        <v>5.1130776794493604</v>
      </c>
      <c r="V1516" s="5"/>
      <c r="W1516" s="6" t="s">
        <v>2911</v>
      </c>
    </row>
    <row r="1517" spans="1:23" x14ac:dyDescent="0.15">
      <c r="A1517" s="2" t="s">
        <v>221</v>
      </c>
      <c r="B1517" s="2" t="s">
        <v>3930</v>
      </c>
      <c r="C1517" s="2" t="s">
        <v>27</v>
      </c>
      <c r="D1517" s="2" t="s">
        <v>775</v>
      </c>
      <c r="E1517" s="1"/>
      <c r="F1517" s="2" t="s">
        <v>238</v>
      </c>
      <c r="G1517" s="2">
        <v>18</v>
      </c>
      <c r="H1517" s="2" t="str">
        <f t="shared" si="50"/>
        <v>W</v>
      </c>
      <c r="I1517" s="5">
        <f>13.83/0.954</f>
        <v>14.49685534591195</v>
      </c>
      <c r="J1517" s="5">
        <v>371.4</v>
      </c>
      <c r="K1517" s="5"/>
      <c r="L1517" s="5">
        <v>5</v>
      </c>
      <c r="M1517" s="2" t="s">
        <v>571</v>
      </c>
      <c r="N1517" s="5">
        <v>30.1</v>
      </c>
      <c r="O1517" s="5">
        <v>16.600000000000001</v>
      </c>
      <c r="P1517" s="5">
        <v>5</v>
      </c>
      <c r="Q1517" s="2" t="s">
        <v>18</v>
      </c>
      <c r="R1517" s="5">
        <v>24</v>
      </c>
      <c r="S1517" s="5">
        <f t="shared" si="49"/>
        <v>6.4620355411954762</v>
      </c>
      <c r="V1517" s="5"/>
      <c r="W1517" s="6" t="s">
        <v>2911</v>
      </c>
    </row>
    <row r="1518" spans="1:23" x14ac:dyDescent="0.15">
      <c r="A1518" s="2" t="s">
        <v>221</v>
      </c>
      <c r="B1518" s="2" t="s">
        <v>3930</v>
      </c>
      <c r="C1518" s="2" t="s">
        <v>27</v>
      </c>
      <c r="D1518" s="2" t="s">
        <v>775</v>
      </c>
      <c r="E1518" s="1"/>
      <c r="F1518" s="2" t="s">
        <v>238</v>
      </c>
      <c r="G1518" s="2">
        <v>18</v>
      </c>
      <c r="H1518" s="2" t="str">
        <f t="shared" si="50"/>
        <v>W</v>
      </c>
      <c r="I1518" s="5">
        <v>16.149999999999999</v>
      </c>
      <c r="J1518" s="5">
        <f xml:space="preserve"> 0.0001263*((I1518*0.954)*10)^3.048</f>
        <v>588.26994134089648</v>
      </c>
      <c r="K1518" s="5"/>
      <c r="L1518" s="5">
        <v>5</v>
      </c>
      <c r="M1518" s="2" t="s">
        <v>571</v>
      </c>
      <c r="N1518" s="5"/>
      <c r="O1518" s="5">
        <v>16.57</v>
      </c>
      <c r="P1518" s="5">
        <f xml:space="preserve"> (1.001*O1518) - 11.469</f>
        <v>5.1175699999999988</v>
      </c>
      <c r="Q1518" s="2" t="s">
        <v>376</v>
      </c>
      <c r="R1518" s="5">
        <f>P1518*L1518</f>
        <v>25.587849999999996</v>
      </c>
      <c r="S1518" s="5">
        <f>0.072*100</f>
        <v>7.1999999999999993</v>
      </c>
      <c r="V1518" s="5"/>
      <c r="W1518" s="6" t="s">
        <v>2035</v>
      </c>
    </row>
    <row r="1519" spans="1:23" x14ac:dyDescent="0.15">
      <c r="A1519" s="2" t="s">
        <v>221</v>
      </c>
      <c r="B1519" s="2" t="s">
        <v>3930</v>
      </c>
      <c r="C1519" s="2" t="s">
        <v>27</v>
      </c>
      <c r="D1519" s="2" t="s">
        <v>775</v>
      </c>
      <c r="E1519" s="1"/>
      <c r="F1519" s="2" t="s">
        <v>237</v>
      </c>
      <c r="G1519" s="2">
        <v>19.100000000000001</v>
      </c>
      <c r="H1519" s="2" t="str">
        <f t="shared" si="50"/>
        <v>W</v>
      </c>
      <c r="I1519" s="5">
        <v>18.43</v>
      </c>
      <c r="J1519" s="5">
        <f xml:space="preserve"> 0.0001263*((I1519*0.954)*10)^3.048</f>
        <v>879.80822638501922</v>
      </c>
      <c r="K1519" s="5"/>
      <c r="L1519" s="5">
        <v>6.88</v>
      </c>
      <c r="M1519" s="2" t="s">
        <v>571</v>
      </c>
      <c r="N1519" s="5">
        <v>30.25</v>
      </c>
      <c r="O1519" s="5">
        <v>18.739999999999998</v>
      </c>
      <c r="P1519" s="5">
        <f xml:space="preserve"> (0.201*N1519) + (0.675*O1519) - 12.269</f>
        <v>6.4607499999999991</v>
      </c>
      <c r="Q1519" s="2" t="s">
        <v>376</v>
      </c>
      <c r="R1519" s="5">
        <f>P1519*L1519</f>
        <v>44.44995999999999</v>
      </c>
      <c r="S1519" s="5">
        <f>0.067*100</f>
        <v>6.7</v>
      </c>
      <c r="V1519" s="5"/>
      <c r="W1519" s="6" t="s">
        <v>2035</v>
      </c>
    </row>
    <row r="1520" spans="1:23" x14ac:dyDescent="0.15">
      <c r="A1520" s="2" t="s">
        <v>221</v>
      </c>
      <c r="B1520" s="2" t="s">
        <v>3930</v>
      </c>
      <c r="C1520" s="2" t="s">
        <v>27</v>
      </c>
      <c r="D1520" s="2" t="s">
        <v>775</v>
      </c>
      <c r="E1520" s="1"/>
      <c r="F1520" s="2" t="s">
        <v>244</v>
      </c>
      <c r="G1520" s="2">
        <v>18.399999999999999</v>
      </c>
      <c r="H1520" s="2" t="str">
        <f t="shared" si="50"/>
        <v>W</v>
      </c>
      <c r="I1520" s="5">
        <v>13.25</v>
      </c>
      <c r="J1520" s="5">
        <f xml:space="preserve"> 0.0001263*((I1520*0.954)*10)^3.048</f>
        <v>321.79611278567404</v>
      </c>
      <c r="K1520" s="5"/>
      <c r="L1520" s="5">
        <v>4</v>
      </c>
      <c r="M1520" s="2" t="s">
        <v>571</v>
      </c>
      <c r="N1520" s="5">
        <v>31.218</v>
      </c>
      <c r="O1520" s="5">
        <v>17.23</v>
      </c>
      <c r="P1520" s="5">
        <v>5.7779999999999996</v>
      </c>
      <c r="Q1520" s="2" t="s">
        <v>376</v>
      </c>
      <c r="R1520" s="5">
        <v>23.111999999999998</v>
      </c>
      <c r="S1520" s="5">
        <v>6.83</v>
      </c>
      <c r="V1520" s="5"/>
      <c r="W1520" s="10" t="s">
        <v>2038</v>
      </c>
    </row>
    <row r="1521" spans="1:23" x14ac:dyDescent="0.15">
      <c r="A1521" s="2" t="s">
        <v>221</v>
      </c>
      <c r="B1521" s="2" t="s">
        <v>3930</v>
      </c>
      <c r="C1521" s="2" t="s">
        <v>27</v>
      </c>
      <c r="D1521" s="2" t="s">
        <v>775</v>
      </c>
      <c r="E1521" s="1"/>
      <c r="F1521" s="2" t="s">
        <v>2759</v>
      </c>
      <c r="G1521" s="2" t="s">
        <v>374</v>
      </c>
      <c r="H1521" s="2" t="str">
        <f t="shared" si="50"/>
        <v>C</v>
      </c>
      <c r="I1521" s="5">
        <v>15</v>
      </c>
      <c r="J1521" s="5">
        <v>481</v>
      </c>
      <c r="K1521" s="5"/>
      <c r="L1521" s="5">
        <v>3</v>
      </c>
      <c r="M1521" s="2" t="s">
        <v>571</v>
      </c>
      <c r="N1521" s="5">
        <v>31</v>
      </c>
      <c r="O1521" s="5">
        <v>16</v>
      </c>
      <c r="P1521" s="5">
        <f xml:space="preserve"> 0.201*N1521 + 0.675*O1521 - 12.269</f>
        <v>4.7620000000000022</v>
      </c>
      <c r="Q1521" s="2" t="s">
        <v>376</v>
      </c>
      <c r="R1521" s="5">
        <v>15</v>
      </c>
      <c r="S1521" s="5">
        <v>3.12</v>
      </c>
      <c r="V1521" s="5"/>
      <c r="W1521" s="6" t="s">
        <v>2912</v>
      </c>
    </row>
    <row r="1522" spans="1:23" x14ac:dyDescent="0.15">
      <c r="A1522" s="2" t="s">
        <v>221</v>
      </c>
      <c r="B1522" s="2" t="s">
        <v>3930</v>
      </c>
      <c r="C1522" s="2" t="s">
        <v>27</v>
      </c>
      <c r="D1522" s="2" t="s">
        <v>625</v>
      </c>
      <c r="E1522" s="1" t="s">
        <v>1005</v>
      </c>
      <c r="F1522" s="2" t="s">
        <v>379</v>
      </c>
      <c r="G1522" s="2" t="s">
        <v>374</v>
      </c>
      <c r="H1522" s="2" t="str">
        <f t="shared" si="50"/>
        <v>C</v>
      </c>
      <c r="I1522" s="5">
        <v>14.07</v>
      </c>
      <c r="J1522" s="5">
        <v>403.49</v>
      </c>
      <c r="K1522" s="5"/>
      <c r="L1522" s="5">
        <v>2.1</v>
      </c>
      <c r="M1522" s="2" t="s">
        <v>571</v>
      </c>
      <c r="N1522" s="5">
        <v>34.1</v>
      </c>
      <c r="O1522" s="5">
        <v>19.3</v>
      </c>
      <c r="P1522" s="5">
        <v>8.1</v>
      </c>
      <c r="Q1522" s="2" t="s">
        <v>18</v>
      </c>
      <c r="R1522" s="5">
        <v>17.010000000000002</v>
      </c>
      <c r="S1522" s="5">
        <v>4.22</v>
      </c>
      <c r="V1522" s="5"/>
      <c r="W1522" s="6" t="s">
        <v>2913</v>
      </c>
    </row>
    <row r="1523" spans="1:23" x14ac:dyDescent="0.15">
      <c r="A1523" s="2" t="s">
        <v>221</v>
      </c>
      <c r="B1523" s="2" t="s">
        <v>3930</v>
      </c>
      <c r="C1523" s="2" t="s">
        <v>27</v>
      </c>
      <c r="D1523" s="2" t="s">
        <v>625</v>
      </c>
      <c r="E1523" s="1" t="s">
        <v>1005</v>
      </c>
      <c r="F1523" s="2" t="s">
        <v>245</v>
      </c>
      <c r="G1523" s="2">
        <v>19.100000000000001</v>
      </c>
      <c r="H1523" s="2" t="str">
        <f t="shared" si="50"/>
        <v>W</v>
      </c>
      <c r="I1523" s="5">
        <v>14.539</v>
      </c>
      <c r="J1523" s="5">
        <f>0.1771*I1523^2.924</f>
        <v>444.08851954889866</v>
      </c>
      <c r="K1523" s="5"/>
      <c r="L1523" s="5">
        <v>2.2400000000000002</v>
      </c>
      <c r="M1523" s="2" t="s">
        <v>571</v>
      </c>
      <c r="N1523" s="5"/>
      <c r="O1523" s="5">
        <v>19.3</v>
      </c>
      <c r="P1523" s="5">
        <f xml:space="preserve"> (1.0891*O1523) - 12.002</f>
        <v>9.0176299999999987</v>
      </c>
      <c r="Q1523" s="2" t="s">
        <v>376</v>
      </c>
      <c r="R1523" s="5">
        <f>P1523*L1523</f>
        <v>20.199491200000001</v>
      </c>
      <c r="S1523" s="5">
        <f>0.03*100</f>
        <v>3</v>
      </c>
      <c r="V1523" s="5"/>
      <c r="W1523" s="6" t="s">
        <v>1845</v>
      </c>
    </row>
    <row r="1524" spans="1:23" x14ac:dyDescent="0.15">
      <c r="A1524" s="2" t="s">
        <v>221</v>
      </c>
      <c r="B1524" s="2" t="s">
        <v>3930</v>
      </c>
      <c r="C1524" s="2" t="s">
        <v>27</v>
      </c>
      <c r="D1524" s="2" t="s">
        <v>625</v>
      </c>
      <c r="E1524" s="1" t="s">
        <v>1005</v>
      </c>
      <c r="F1524" s="2" t="s">
        <v>92</v>
      </c>
      <c r="G1524" s="2">
        <v>18.579999999999998</v>
      </c>
      <c r="H1524" s="2" t="str">
        <f t="shared" si="50"/>
        <v>W</v>
      </c>
      <c r="I1524" s="5">
        <v>13.9</v>
      </c>
      <c r="J1524" s="5">
        <v>415</v>
      </c>
      <c r="K1524" s="5"/>
      <c r="L1524" s="5">
        <v>1.3</v>
      </c>
      <c r="M1524" s="2" t="s">
        <v>571</v>
      </c>
      <c r="N1524" s="5">
        <v>36.799999999999997</v>
      </c>
      <c r="O1524" s="5">
        <v>19.899999999999999</v>
      </c>
      <c r="P1524" s="5">
        <v>9.18</v>
      </c>
      <c r="Q1524" s="2" t="s">
        <v>18</v>
      </c>
      <c r="R1524" s="5">
        <v>11.933999999999999</v>
      </c>
      <c r="S1524" s="5">
        <v>2.8759999999999999</v>
      </c>
      <c r="T1524" s="7">
        <f>MEDIAN(1,4)</f>
        <v>2.5</v>
      </c>
      <c r="U1524" s="2" t="str">
        <f>IF(T1524&lt;=1, "1",IF(AND(T1524&gt;1,T1524&lt;4), "2-3", "+4"))</f>
        <v>2-3</v>
      </c>
      <c r="V1524" s="5">
        <f>S1524*T1524</f>
        <v>7.1899999999999995</v>
      </c>
      <c r="W1524" s="6" t="s">
        <v>2213</v>
      </c>
    </row>
    <row r="1525" spans="1:23" ht="12.75" customHeight="1" x14ac:dyDescent="0.15">
      <c r="A1525" s="2" t="s">
        <v>221</v>
      </c>
      <c r="B1525" s="2" t="s">
        <v>3930</v>
      </c>
      <c r="C1525" s="2" t="s">
        <v>27</v>
      </c>
      <c r="D1525" s="2" t="s">
        <v>625</v>
      </c>
      <c r="E1525" s="1" t="s">
        <v>1005</v>
      </c>
      <c r="F1525" s="2" t="s">
        <v>92</v>
      </c>
      <c r="G1525" s="2">
        <v>18.649999999999999</v>
      </c>
      <c r="H1525" s="2" t="str">
        <f t="shared" si="50"/>
        <v>W</v>
      </c>
      <c r="I1525" s="5">
        <v>12.6</v>
      </c>
      <c r="J1525" s="5">
        <v>332</v>
      </c>
      <c r="K1525" s="5"/>
      <c r="L1525" s="5">
        <v>2.2999999999999998</v>
      </c>
      <c r="M1525" s="2" t="s">
        <v>571</v>
      </c>
      <c r="N1525" s="5">
        <v>33.5</v>
      </c>
      <c r="O1525" s="5">
        <v>17.899999999999999</v>
      </c>
      <c r="P1525" s="5">
        <v>6.95</v>
      </c>
      <c r="Q1525" s="2" t="s">
        <v>18</v>
      </c>
      <c r="R1525" s="5">
        <v>15.984999999999999</v>
      </c>
      <c r="S1525" s="5">
        <v>4.8099999999999996</v>
      </c>
      <c r="T1525" s="7">
        <f>MEDIAN(2,6)</f>
        <v>4</v>
      </c>
      <c r="U1525" s="2" t="str">
        <f>IF(T1525&lt;=1, "1",IF(AND(T1525&gt;1,T1525&lt;4), "2-3", "+4"))</f>
        <v>+4</v>
      </c>
      <c r="V1525" s="5">
        <f>S1525*T1525</f>
        <v>19.239999999999998</v>
      </c>
      <c r="W1525" s="6" t="s">
        <v>2213</v>
      </c>
    </row>
    <row r="1526" spans="1:23" x14ac:dyDescent="0.15">
      <c r="A1526" s="2" t="s">
        <v>221</v>
      </c>
      <c r="B1526" s="2" t="s">
        <v>3930</v>
      </c>
      <c r="C1526" s="2" t="s">
        <v>27</v>
      </c>
      <c r="D1526" s="2" t="s">
        <v>625</v>
      </c>
      <c r="E1526" s="1" t="s">
        <v>1005</v>
      </c>
      <c r="F1526" s="2" t="s">
        <v>92</v>
      </c>
      <c r="G1526" s="2">
        <v>18.579999999999998</v>
      </c>
      <c r="H1526" s="2" t="str">
        <f t="shared" si="50"/>
        <v>W</v>
      </c>
      <c r="I1526" s="5">
        <v>16.399999999999999</v>
      </c>
      <c r="J1526" s="5">
        <v>764</v>
      </c>
      <c r="K1526" s="5"/>
      <c r="L1526" s="5">
        <v>3</v>
      </c>
      <c r="M1526" s="2" t="s">
        <v>571</v>
      </c>
      <c r="N1526" s="5">
        <v>37.5</v>
      </c>
      <c r="O1526" s="5">
        <v>22.7</v>
      </c>
      <c r="P1526" s="5">
        <v>9.8000000000000007</v>
      </c>
      <c r="Q1526" s="2" t="s">
        <v>18</v>
      </c>
      <c r="R1526" s="5">
        <v>29.4</v>
      </c>
      <c r="S1526" s="5">
        <v>3.85</v>
      </c>
      <c r="T1526" s="7">
        <f>MEDIAN(1,5)</f>
        <v>3</v>
      </c>
      <c r="U1526" s="2" t="str">
        <f>IF(T1526&lt;=1, "1",IF(AND(T1526&gt;1,T1526&lt;4), "2-3", "+4"))</f>
        <v>2-3</v>
      </c>
      <c r="V1526" s="5">
        <f>S1526*T1526</f>
        <v>11.55</v>
      </c>
      <c r="W1526" s="6" t="s">
        <v>2213</v>
      </c>
    </row>
    <row r="1527" spans="1:23" ht="12.75" customHeight="1" x14ac:dyDescent="0.15">
      <c r="A1527" s="2" t="s">
        <v>221</v>
      </c>
      <c r="B1527" s="2" t="s">
        <v>3930</v>
      </c>
      <c r="C1527" s="2" t="s">
        <v>27</v>
      </c>
      <c r="D1527" s="2" t="s">
        <v>625</v>
      </c>
      <c r="E1527" s="1" t="s">
        <v>3512</v>
      </c>
      <c r="F1527" s="2" t="s">
        <v>219</v>
      </c>
      <c r="G1527" s="2">
        <v>8</v>
      </c>
      <c r="H1527" s="2" t="str">
        <f t="shared" si="50"/>
        <v>W</v>
      </c>
      <c r="I1527" s="5">
        <v>10.89</v>
      </c>
      <c r="J1527" s="5">
        <v>190.9</v>
      </c>
      <c r="K1527" s="5"/>
      <c r="L1527" s="5">
        <v>1.25</v>
      </c>
      <c r="M1527" s="2" t="s">
        <v>571</v>
      </c>
      <c r="N1527" s="5">
        <v>37</v>
      </c>
      <c r="O1527" s="5">
        <v>19.5</v>
      </c>
      <c r="P1527" s="5">
        <v>8.9700000000000006</v>
      </c>
      <c r="Q1527" s="2" t="s">
        <v>376</v>
      </c>
      <c r="R1527" s="5">
        <v>11.21</v>
      </c>
      <c r="S1527" s="5">
        <v>5.87</v>
      </c>
      <c r="V1527" s="5"/>
      <c r="W1527" s="6" t="s">
        <v>2333</v>
      </c>
    </row>
    <row r="1528" spans="1:23" x14ac:dyDescent="0.15">
      <c r="A1528" s="2" t="s">
        <v>221</v>
      </c>
      <c r="B1528" s="2" t="s">
        <v>3930</v>
      </c>
      <c r="C1528" s="2" t="s">
        <v>27</v>
      </c>
      <c r="D1528" s="2" t="s">
        <v>625</v>
      </c>
      <c r="E1528" s="1" t="s">
        <v>3512</v>
      </c>
      <c r="F1528" s="2" t="s">
        <v>200</v>
      </c>
      <c r="G1528" s="2">
        <v>9</v>
      </c>
      <c r="H1528" s="2" t="str">
        <f t="shared" si="50"/>
        <v>W</v>
      </c>
      <c r="I1528" s="5">
        <v>13.7</v>
      </c>
      <c r="J1528" s="5">
        <f>0.1771*I1528^2.924</f>
        <v>373.24113340009967</v>
      </c>
      <c r="K1528" s="5"/>
      <c r="L1528" s="5">
        <v>1</v>
      </c>
      <c r="M1528" s="2" t="s">
        <v>571</v>
      </c>
      <c r="N1528" s="5"/>
      <c r="O1528" s="5">
        <f>(P1528+12.002)/1.0891</f>
        <v>19.393995041777615</v>
      </c>
      <c r="P1528" s="5">
        <v>9.1199999999999992</v>
      </c>
      <c r="Q1528" s="2" t="s">
        <v>18</v>
      </c>
      <c r="R1528" s="5">
        <v>9.1199999999999992</v>
      </c>
      <c r="S1528" s="5">
        <f>(R1528/J1528)*100</f>
        <v>2.4434605899194186</v>
      </c>
      <c r="V1528" s="5"/>
      <c r="W1528" s="6" t="s">
        <v>1996</v>
      </c>
    </row>
    <row r="1529" spans="1:23" ht="12.75" customHeight="1" x14ac:dyDescent="0.15">
      <c r="A1529" s="2" t="s">
        <v>221</v>
      </c>
      <c r="B1529" s="2" t="s">
        <v>3930</v>
      </c>
      <c r="C1529" s="2" t="s">
        <v>27</v>
      </c>
      <c r="D1529" s="2" t="s">
        <v>625</v>
      </c>
      <c r="E1529" s="1" t="s">
        <v>1005</v>
      </c>
      <c r="F1529" s="2" t="s">
        <v>379</v>
      </c>
      <c r="G1529" s="2">
        <v>18.579999999999998</v>
      </c>
      <c r="H1529" s="2" t="str">
        <f t="shared" si="50"/>
        <v>W</v>
      </c>
      <c r="I1529" s="5">
        <v>15.79</v>
      </c>
      <c r="J1529" s="5">
        <v>777.6</v>
      </c>
      <c r="K1529" s="5"/>
      <c r="L1529" s="5"/>
      <c r="M1529" s="2" t="s">
        <v>571</v>
      </c>
      <c r="N1529" s="5"/>
      <c r="O1529" s="5"/>
      <c r="P1529" s="5"/>
      <c r="R1529" s="5"/>
      <c r="S1529" s="5"/>
      <c r="V1529" s="5"/>
      <c r="W1529" s="6" t="s">
        <v>2914</v>
      </c>
    </row>
    <row r="1530" spans="1:23" x14ac:dyDescent="0.15">
      <c r="A1530" s="2" t="s">
        <v>221</v>
      </c>
      <c r="B1530" s="2" t="s">
        <v>3930</v>
      </c>
      <c r="C1530" s="2" t="s">
        <v>27</v>
      </c>
      <c r="D1530" s="2" t="s">
        <v>625</v>
      </c>
      <c r="E1530" s="1" t="s">
        <v>1005</v>
      </c>
      <c r="F1530" s="2" t="s">
        <v>379</v>
      </c>
      <c r="G1530" s="2">
        <v>18.399999999999999</v>
      </c>
      <c r="H1530" s="2" t="str">
        <f t="shared" si="50"/>
        <v>W</v>
      </c>
      <c r="I1530" s="5"/>
      <c r="J1530" s="5"/>
      <c r="K1530" s="5"/>
      <c r="L1530" s="5">
        <v>6</v>
      </c>
      <c r="M1530" s="2" t="s">
        <v>571</v>
      </c>
      <c r="N1530" s="5">
        <v>38.5</v>
      </c>
      <c r="O1530" s="5">
        <v>23</v>
      </c>
      <c r="P1530" s="5">
        <v>15</v>
      </c>
      <c r="Q1530" s="2" t="s">
        <v>18</v>
      </c>
      <c r="R1530" s="5">
        <v>90</v>
      </c>
      <c r="S1530" s="5"/>
      <c r="V1530" s="5"/>
      <c r="W1530" s="6" t="s">
        <v>2915</v>
      </c>
    </row>
    <row r="1531" spans="1:23" ht="12.75" customHeight="1" x14ac:dyDescent="0.15">
      <c r="A1531" s="2" t="s">
        <v>221</v>
      </c>
      <c r="B1531" s="2" t="s">
        <v>3930</v>
      </c>
      <c r="C1531" s="2" t="s">
        <v>27</v>
      </c>
      <c r="D1531" s="2" t="s">
        <v>625</v>
      </c>
      <c r="E1531" s="1" t="s">
        <v>3512</v>
      </c>
      <c r="F1531" s="2" t="s">
        <v>853</v>
      </c>
      <c r="H1531" s="2" t="s">
        <v>3887</v>
      </c>
      <c r="I1531" s="5"/>
      <c r="J1531" s="5"/>
      <c r="K1531" s="5"/>
      <c r="L1531" s="5">
        <f>MEDIAN(1,2)</f>
        <v>1.5</v>
      </c>
      <c r="M1531" s="2" t="s">
        <v>571</v>
      </c>
      <c r="N1531" s="5">
        <v>38</v>
      </c>
      <c r="O1531" s="5">
        <v>20</v>
      </c>
      <c r="P1531" s="5">
        <v>9</v>
      </c>
      <c r="Q1531" s="2" t="s">
        <v>18</v>
      </c>
      <c r="R1531" s="5">
        <f>P1531*L1531</f>
        <v>13.5</v>
      </c>
      <c r="S1531" s="5"/>
      <c r="V1531" s="5"/>
      <c r="W1531" s="6" t="s">
        <v>2165</v>
      </c>
    </row>
    <row r="1532" spans="1:23" ht="12.75" customHeight="1" x14ac:dyDescent="0.15">
      <c r="A1532" s="2" t="s">
        <v>221</v>
      </c>
      <c r="B1532" s="2" t="s">
        <v>3930</v>
      </c>
      <c r="C1532" s="2" t="s">
        <v>27</v>
      </c>
      <c r="D1532" s="2" t="s">
        <v>625</v>
      </c>
      <c r="E1532" s="1" t="s">
        <v>1005</v>
      </c>
      <c r="F1532" s="2" t="s">
        <v>374</v>
      </c>
      <c r="G1532" s="2" t="s">
        <v>374</v>
      </c>
      <c r="H1532" s="2" t="str">
        <f t="shared" si="50"/>
        <v>C</v>
      </c>
      <c r="I1532" s="5">
        <v>12.7</v>
      </c>
      <c r="J1532" s="5">
        <v>310</v>
      </c>
      <c r="K1532" s="5"/>
      <c r="L1532" s="5">
        <v>2</v>
      </c>
      <c r="M1532" s="2" t="s">
        <v>571</v>
      </c>
      <c r="N1532" s="5">
        <v>38</v>
      </c>
      <c r="O1532" s="5">
        <v>20</v>
      </c>
      <c r="P1532" s="5">
        <f xml:space="preserve"> 0.276*N1532 + 0.808*O1532 - 17</f>
        <v>9.6480000000000032</v>
      </c>
      <c r="Q1532" s="2" t="s">
        <v>376</v>
      </c>
      <c r="R1532" s="5">
        <v>19.3</v>
      </c>
      <c r="S1532" s="5">
        <v>6.22</v>
      </c>
      <c r="V1532" s="5"/>
      <c r="W1532" s="6" t="s">
        <v>2916</v>
      </c>
    </row>
    <row r="1533" spans="1:23" ht="12.75" customHeight="1" x14ac:dyDescent="0.15">
      <c r="A1533" s="2" t="s">
        <v>221</v>
      </c>
      <c r="B1533" s="2" t="s">
        <v>3930</v>
      </c>
      <c r="C1533" s="2" t="s">
        <v>27</v>
      </c>
      <c r="D1533" s="2" t="s">
        <v>625</v>
      </c>
      <c r="E1533" s="1" t="s">
        <v>1005</v>
      </c>
      <c r="F1533" s="2" t="s">
        <v>374</v>
      </c>
      <c r="G1533" s="2" t="s">
        <v>374</v>
      </c>
      <c r="H1533" s="2" t="str">
        <f t="shared" si="50"/>
        <v>C</v>
      </c>
      <c r="I1533" s="5"/>
      <c r="J1533" s="5"/>
      <c r="K1533" s="5">
        <v>4</v>
      </c>
      <c r="L1533" s="5">
        <v>2</v>
      </c>
      <c r="M1533" s="2" t="s">
        <v>571</v>
      </c>
      <c r="N1533" s="5">
        <v>33</v>
      </c>
      <c r="O1533" s="5">
        <v>17</v>
      </c>
      <c r="P1533" s="5">
        <v>5.84</v>
      </c>
      <c r="Q1533" s="2" t="s">
        <v>376</v>
      </c>
      <c r="R1533" s="5">
        <v>11.69</v>
      </c>
      <c r="S1533" s="5"/>
      <c r="V1533" s="5"/>
      <c r="W1533" s="6" t="s">
        <v>3018</v>
      </c>
    </row>
    <row r="1534" spans="1:23" x14ac:dyDescent="0.15">
      <c r="A1534" s="2" t="s">
        <v>221</v>
      </c>
      <c r="B1534" s="2" t="s">
        <v>3930</v>
      </c>
      <c r="C1534" s="2" t="s">
        <v>27</v>
      </c>
      <c r="D1534" s="2" t="s">
        <v>625</v>
      </c>
      <c r="E1534" s="1" t="s">
        <v>1005</v>
      </c>
      <c r="F1534" s="2" t="s">
        <v>374</v>
      </c>
      <c r="G1534" s="2" t="s">
        <v>374</v>
      </c>
      <c r="H1534" s="2" t="str">
        <f t="shared" si="50"/>
        <v>C</v>
      </c>
      <c r="I1534" s="5">
        <v>11.7</v>
      </c>
      <c r="J1534" s="5">
        <v>233</v>
      </c>
      <c r="K1534" s="5"/>
      <c r="L1534" s="5">
        <v>1.1100000000000001</v>
      </c>
      <c r="M1534" s="2" t="s">
        <v>571</v>
      </c>
      <c r="N1534" s="5">
        <v>35.200000000000003</v>
      </c>
      <c r="O1534" s="5">
        <v>19.8</v>
      </c>
      <c r="P1534" s="5">
        <v>8.8000000000000007</v>
      </c>
      <c r="Q1534" s="2" t="s">
        <v>18</v>
      </c>
      <c r="R1534" s="5">
        <v>9.68</v>
      </c>
      <c r="S1534" s="5">
        <v>4.1500000000000004</v>
      </c>
      <c r="T1534" s="2">
        <v>5.4</v>
      </c>
      <c r="U1534" s="2" t="str">
        <f>IF(T1534&lt;=1, "1",IF(AND(T1534&gt;1,T1534&lt;4), "2-3", "+4"))</f>
        <v>+4</v>
      </c>
      <c r="V1534" s="5">
        <f>S1534*T1534</f>
        <v>22.410000000000004</v>
      </c>
      <c r="W1534" s="6" t="s">
        <v>2917</v>
      </c>
    </row>
    <row r="1535" spans="1:23" x14ac:dyDescent="0.15">
      <c r="A1535" s="2" t="s">
        <v>221</v>
      </c>
      <c r="B1535" s="2" t="s">
        <v>3930</v>
      </c>
      <c r="C1535" s="2" t="s">
        <v>27</v>
      </c>
      <c r="D1535" s="2" t="s">
        <v>625</v>
      </c>
      <c r="E1535" s="1" t="s">
        <v>3512</v>
      </c>
      <c r="F1535" s="2" t="s">
        <v>374</v>
      </c>
      <c r="G1535" s="2" t="s">
        <v>374</v>
      </c>
      <c r="H1535" s="2" t="str">
        <f t="shared" si="50"/>
        <v>C</v>
      </c>
      <c r="I1535" s="5">
        <v>11.93</v>
      </c>
      <c r="J1535" s="5">
        <v>236.7</v>
      </c>
      <c r="K1535" s="5"/>
      <c r="L1535" s="5">
        <f>MEDIAN(1,2)</f>
        <v>1.5</v>
      </c>
      <c r="M1535" s="2" t="s">
        <v>571</v>
      </c>
      <c r="N1535" s="5"/>
      <c r="O1535" s="5"/>
      <c r="P1535" s="5"/>
      <c r="R1535" s="5"/>
      <c r="S1535" s="5"/>
      <c r="V1535" s="5"/>
      <c r="W1535" s="6" t="s">
        <v>2918</v>
      </c>
    </row>
    <row r="1536" spans="1:23" x14ac:dyDescent="0.15">
      <c r="A1536" s="2" t="s">
        <v>221</v>
      </c>
      <c r="B1536" s="2" t="s">
        <v>3930</v>
      </c>
      <c r="C1536" s="2" t="s">
        <v>27</v>
      </c>
      <c r="D1536" s="2" t="s">
        <v>776</v>
      </c>
      <c r="E1536" s="1"/>
      <c r="F1536" s="2" t="s">
        <v>374</v>
      </c>
      <c r="G1536" s="2" t="s">
        <v>374</v>
      </c>
      <c r="H1536" s="2" t="str">
        <f t="shared" si="50"/>
        <v>C</v>
      </c>
      <c r="I1536" s="5">
        <v>15.6</v>
      </c>
      <c r="J1536" s="5">
        <v>484.2</v>
      </c>
      <c r="K1536" s="5"/>
      <c r="L1536" s="5">
        <v>4.444</v>
      </c>
      <c r="M1536" s="2" t="s">
        <v>571</v>
      </c>
      <c r="N1536" s="5"/>
      <c r="O1536" s="5"/>
      <c r="P1536" s="5"/>
      <c r="R1536" s="5"/>
      <c r="S1536" s="5"/>
      <c r="T1536" s="2">
        <v>1.6</v>
      </c>
      <c r="U1536" s="2" t="str">
        <f>IF(T1536&lt;=1, "1",IF(AND(T1536&gt;1,T1536&lt;4), "2-3", "+4"))</f>
        <v>2-3</v>
      </c>
      <c r="V1536" s="5"/>
      <c r="W1536" s="6" t="s">
        <v>2531</v>
      </c>
    </row>
    <row r="1537" spans="1:23" x14ac:dyDescent="0.15">
      <c r="A1537" s="2" t="s">
        <v>221</v>
      </c>
      <c r="B1537" s="2" t="s">
        <v>3930</v>
      </c>
      <c r="C1537" s="2" t="s">
        <v>27</v>
      </c>
      <c r="D1537" s="2" t="s">
        <v>776</v>
      </c>
      <c r="E1537" s="1"/>
      <c r="F1537" s="2" t="s">
        <v>379</v>
      </c>
      <c r="G1537" s="2">
        <v>15.67</v>
      </c>
      <c r="H1537" s="2" t="str">
        <f t="shared" si="50"/>
        <v>W</v>
      </c>
      <c r="I1537" s="5">
        <v>12.77</v>
      </c>
      <c r="J1537" s="5">
        <f xml:space="preserve"> 0.1519*I1537^2.927</f>
        <v>262.65068037987356</v>
      </c>
      <c r="K1537" s="5"/>
      <c r="L1537" s="5">
        <v>4</v>
      </c>
      <c r="M1537" s="2" t="s">
        <v>571</v>
      </c>
      <c r="N1537" s="5"/>
      <c r="O1537" s="5"/>
      <c r="P1537" s="5"/>
      <c r="R1537" s="5"/>
      <c r="S1537" s="5">
        <v>4.9000000000000004</v>
      </c>
      <c r="V1537" s="5"/>
      <c r="W1537" s="6" t="s">
        <v>2919</v>
      </c>
    </row>
    <row r="1538" spans="1:23" ht="12.75" customHeight="1" x14ac:dyDescent="0.15">
      <c r="A1538" s="2" t="s">
        <v>221</v>
      </c>
      <c r="B1538" s="2" t="s">
        <v>3930</v>
      </c>
      <c r="C1538" s="2" t="s">
        <v>27</v>
      </c>
      <c r="D1538" s="2" t="s">
        <v>776</v>
      </c>
      <c r="E1538" s="1"/>
      <c r="F1538" s="2" t="s">
        <v>857</v>
      </c>
      <c r="G1538" s="2">
        <v>15.73</v>
      </c>
      <c r="H1538" s="2" t="str">
        <f t="shared" si="50"/>
        <v>W</v>
      </c>
      <c r="I1538" s="5">
        <f>EXP(LN(J1538/0.1519)/2.927)</f>
        <v>13.718032448844601</v>
      </c>
      <c r="J1538" s="5">
        <v>323.89999999999998</v>
      </c>
      <c r="K1538" s="5"/>
      <c r="L1538" s="5">
        <v>1.95</v>
      </c>
      <c r="M1538" s="2" t="s">
        <v>571</v>
      </c>
      <c r="N1538" s="5">
        <v>30.61</v>
      </c>
      <c r="O1538" s="5">
        <v>17.11</v>
      </c>
      <c r="P1538" s="5">
        <v>7.64</v>
      </c>
      <c r="Q1538" s="2" t="s">
        <v>18</v>
      </c>
      <c r="R1538" s="5">
        <v>14.9</v>
      </c>
      <c r="S1538" s="5">
        <v>4.5999999999999996</v>
      </c>
      <c r="V1538" s="5"/>
      <c r="W1538" s="6" t="s">
        <v>3646</v>
      </c>
    </row>
    <row r="1539" spans="1:23" x14ac:dyDescent="0.15">
      <c r="A1539" s="2" t="s">
        <v>221</v>
      </c>
      <c r="B1539" s="2" t="s">
        <v>3930</v>
      </c>
      <c r="C1539" s="2" t="s">
        <v>27</v>
      </c>
      <c r="D1539" s="2" t="s">
        <v>430</v>
      </c>
      <c r="E1539" s="1" t="s">
        <v>3513</v>
      </c>
      <c r="F1539" s="2" t="s">
        <v>73</v>
      </c>
      <c r="H1539" s="2" t="s">
        <v>3887</v>
      </c>
      <c r="I1539" s="5"/>
      <c r="J1539" s="5"/>
      <c r="K1539" s="5"/>
      <c r="L1539" s="7">
        <f>MEDIAN(1,5)</f>
        <v>3</v>
      </c>
      <c r="M1539" s="2" t="s">
        <v>571</v>
      </c>
      <c r="N1539" s="5">
        <v>32.799999999999997</v>
      </c>
      <c r="O1539" s="5">
        <v>19.600000000000001</v>
      </c>
      <c r="P1539" s="5">
        <f xml:space="preserve"> (0.218*N1539) +(0.696*O1539) - 13.083</f>
        <v>7.7090000000000014</v>
      </c>
      <c r="Q1539" s="2" t="s">
        <v>376</v>
      </c>
      <c r="R1539" s="5">
        <f>P1539*L1539</f>
        <v>23.127000000000002</v>
      </c>
      <c r="S1539" s="5"/>
      <c r="V1539" s="5"/>
      <c r="W1539" s="6" t="s">
        <v>2863</v>
      </c>
    </row>
    <row r="1540" spans="1:23" x14ac:dyDescent="0.15">
      <c r="A1540" s="2" t="s">
        <v>221</v>
      </c>
      <c r="B1540" s="2" t="s">
        <v>3930</v>
      </c>
      <c r="C1540" s="2" t="s">
        <v>27</v>
      </c>
      <c r="D1540" s="2" t="s">
        <v>430</v>
      </c>
      <c r="E1540" s="1" t="s">
        <v>3513</v>
      </c>
      <c r="F1540" s="2" t="s">
        <v>3904</v>
      </c>
      <c r="G1540" s="2">
        <v>9.7799999999999994</v>
      </c>
      <c r="H1540" s="2" t="str">
        <f t="shared" si="50"/>
        <v>W</v>
      </c>
      <c r="I1540" s="5">
        <f>EXP(LN(J1540/0.2212)/2.902)</f>
        <v>16.506329292595868</v>
      </c>
      <c r="J1540" s="5">
        <v>755.8</v>
      </c>
      <c r="K1540" s="5"/>
      <c r="L1540" s="5"/>
      <c r="M1540" s="2" t="s">
        <v>571</v>
      </c>
      <c r="N1540" s="5"/>
      <c r="O1540" s="5"/>
      <c r="P1540" s="5"/>
      <c r="R1540" s="5"/>
      <c r="S1540" s="5"/>
      <c r="V1540" s="5"/>
      <c r="W1540" s="6" t="s">
        <v>2862</v>
      </c>
    </row>
    <row r="1541" spans="1:23" x14ac:dyDescent="0.15">
      <c r="A1541" s="2" t="s">
        <v>221</v>
      </c>
      <c r="B1541" s="2" t="s">
        <v>3930</v>
      </c>
      <c r="C1541" s="2" t="s">
        <v>27</v>
      </c>
      <c r="D1541" s="2" t="s">
        <v>430</v>
      </c>
      <c r="E1541" s="1" t="s">
        <v>3513</v>
      </c>
      <c r="F1541" s="2" t="s">
        <v>73</v>
      </c>
      <c r="G1541" s="2">
        <v>9.93</v>
      </c>
      <c r="H1541" s="2" t="str">
        <f t="shared" si="50"/>
        <v>W</v>
      </c>
      <c r="I1541" s="5">
        <v>15.5</v>
      </c>
      <c r="J1541" s="5">
        <v>655</v>
      </c>
      <c r="K1541" s="5"/>
      <c r="L1541" s="5">
        <v>3</v>
      </c>
      <c r="M1541" s="2" t="s">
        <v>571</v>
      </c>
      <c r="N1541" s="5">
        <v>32.799999999999997</v>
      </c>
      <c r="O1541" s="5">
        <v>19.600000000000001</v>
      </c>
      <c r="P1541" s="5">
        <v>7.71</v>
      </c>
      <c r="Q1541" s="2" t="s">
        <v>376</v>
      </c>
      <c r="R1541" s="5">
        <v>23.13</v>
      </c>
      <c r="S1541" s="5">
        <v>3.53</v>
      </c>
      <c r="T1541" s="2">
        <v>2</v>
      </c>
      <c r="U1541" s="2" t="str">
        <f>IF(T1541&lt;=1, "1",IF(AND(T1541&gt;1,T1541&lt;4), "2-3", "+4"))</f>
        <v>2-3</v>
      </c>
      <c r="V1541" s="5">
        <f>S1541*T1541</f>
        <v>7.06</v>
      </c>
      <c r="W1541" s="6" t="s">
        <v>2865</v>
      </c>
    </row>
    <row r="1542" spans="1:23" x14ac:dyDescent="0.15">
      <c r="A1542" s="2" t="s">
        <v>221</v>
      </c>
      <c r="B1542" s="2" t="s">
        <v>3930</v>
      </c>
      <c r="C1542" s="2" t="s">
        <v>27</v>
      </c>
      <c r="D1542" s="2" t="s">
        <v>430</v>
      </c>
      <c r="E1542" s="1" t="s">
        <v>1006</v>
      </c>
      <c r="F1542" s="2" t="s">
        <v>26</v>
      </c>
      <c r="G1542" s="2">
        <v>-2.4</v>
      </c>
      <c r="H1542" s="2" t="str">
        <f t="shared" si="50"/>
        <v>W</v>
      </c>
      <c r="I1542" s="5">
        <v>11.09</v>
      </c>
      <c r="J1542" s="5">
        <f xml:space="preserve"> 0.2212*I1542^2.902</f>
        <v>238.32876886315256</v>
      </c>
      <c r="K1542" s="5"/>
      <c r="L1542" s="5"/>
      <c r="M1542" s="2" t="s">
        <v>571</v>
      </c>
      <c r="N1542" s="5"/>
      <c r="O1542" s="5"/>
      <c r="P1542" s="5"/>
      <c r="R1542" s="5"/>
      <c r="S1542" s="5"/>
      <c r="V1542" s="5"/>
      <c r="W1542" s="6" t="s">
        <v>2458</v>
      </c>
    </row>
    <row r="1543" spans="1:23" x14ac:dyDescent="0.15">
      <c r="A1543" s="2" t="s">
        <v>221</v>
      </c>
      <c r="B1543" s="2" t="s">
        <v>3930</v>
      </c>
      <c r="C1543" s="2" t="s">
        <v>27</v>
      </c>
      <c r="D1543" s="2" t="s">
        <v>430</v>
      </c>
      <c r="E1543" s="1" t="s">
        <v>1006</v>
      </c>
      <c r="F1543" s="2" t="s">
        <v>26</v>
      </c>
      <c r="G1543" s="2" t="s">
        <v>374</v>
      </c>
      <c r="H1543" s="2" t="str">
        <f t="shared" si="50"/>
        <v>C</v>
      </c>
      <c r="I1543" s="5">
        <f>EXP(LN(J1543/0.2212)/2.902)</f>
        <v>14.407287471964304</v>
      </c>
      <c r="J1543" s="5">
        <v>509.32</v>
      </c>
      <c r="K1543" s="5"/>
      <c r="L1543" s="5">
        <v>3.73</v>
      </c>
      <c r="M1543" s="2" t="s">
        <v>571</v>
      </c>
      <c r="N1543" s="5">
        <v>37.1</v>
      </c>
      <c r="O1543" s="5">
        <v>20.100000000000001</v>
      </c>
      <c r="P1543" s="5">
        <v>7.8</v>
      </c>
      <c r="Q1543" s="2" t="s">
        <v>18</v>
      </c>
      <c r="R1543" s="5">
        <v>36.85</v>
      </c>
      <c r="S1543" s="5">
        <v>7.24</v>
      </c>
      <c r="T1543" s="2" t="s">
        <v>495</v>
      </c>
      <c r="U1543" s="40" t="s">
        <v>395</v>
      </c>
      <c r="V1543" s="5"/>
      <c r="W1543" s="6" t="s">
        <v>3283</v>
      </c>
    </row>
    <row r="1544" spans="1:23" x14ac:dyDescent="0.15">
      <c r="A1544" s="2" t="s">
        <v>221</v>
      </c>
      <c r="B1544" s="2" t="s">
        <v>3930</v>
      </c>
      <c r="C1544" s="2" t="s">
        <v>27</v>
      </c>
      <c r="D1544" s="2" t="s">
        <v>430</v>
      </c>
      <c r="E1544" s="1" t="s">
        <v>1006</v>
      </c>
      <c r="F1544" s="2" t="s">
        <v>562</v>
      </c>
      <c r="G1544" s="2">
        <v>-26.19</v>
      </c>
      <c r="H1544" s="2" t="str">
        <f t="shared" si="50"/>
        <v>W</v>
      </c>
      <c r="I1544" s="5">
        <v>14</v>
      </c>
      <c r="J1544" s="5">
        <f xml:space="preserve"> 0.2212*I1544^2.902</f>
        <v>468.65006561898491</v>
      </c>
      <c r="K1544" s="5"/>
      <c r="L1544" s="5">
        <v>3</v>
      </c>
      <c r="M1544" s="2" t="s">
        <v>571</v>
      </c>
      <c r="N1544" s="5">
        <v>40</v>
      </c>
      <c r="O1544" s="5">
        <v>20.2</v>
      </c>
      <c r="P1544" s="5">
        <v>9.7200000000000006</v>
      </c>
      <c r="Q1544" s="2" t="s">
        <v>18</v>
      </c>
      <c r="R1544" s="5">
        <v>29.09</v>
      </c>
      <c r="S1544" s="5">
        <f>(R1544/J1544)*100</f>
        <v>6.2071899982726837</v>
      </c>
      <c r="V1544" s="5"/>
      <c r="W1544" s="6" t="s">
        <v>563</v>
      </c>
    </row>
    <row r="1545" spans="1:23" x14ac:dyDescent="0.15">
      <c r="A1545" s="2" t="s">
        <v>221</v>
      </c>
      <c r="B1545" s="2" t="s">
        <v>3930</v>
      </c>
      <c r="C1545" s="2" t="s">
        <v>27</v>
      </c>
      <c r="D1545" s="2" t="s">
        <v>430</v>
      </c>
      <c r="E1545" s="1" t="s">
        <v>3513</v>
      </c>
      <c r="F1545" s="2" t="s">
        <v>73</v>
      </c>
      <c r="G1545" s="2">
        <v>10</v>
      </c>
      <c r="H1545" s="2" t="str">
        <f t="shared" si="50"/>
        <v>W</v>
      </c>
      <c r="I1545" s="5">
        <v>11.52</v>
      </c>
      <c r="J1545" s="5">
        <v>266.14999999999998</v>
      </c>
      <c r="K1545" s="7">
        <f>MEDIAN(6,8)</f>
        <v>7</v>
      </c>
      <c r="L1545" s="5">
        <v>3</v>
      </c>
      <c r="M1545" s="2" t="s">
        <v>571</v>
      </c>
      <c r="N1545" s="5">
        <v>32.799999999999997</v>
      </c>
      <c r="O1545" s="5">
        <v>19.600000000000001</v>
      </c>
      <c r="P1545" s="5">
        <v>7.03</v>
      </c>
      <c r="Q1545" s="2" t="s">
        <v>18</v>
      </c>
      <c r="R1545" s="5">
        <v>21.1</v>
      </c>
      <c r="S1545" s="5">
        <f>(R1545/J1545)*100</f>
        <v>7.9278602291940645</v>
      </c>
      <c r="T1545" s="2" t="s">
        <v>3464</v>
      </c>
      <c r="U1545" s="40" t="s">
        <v>395</v>
      </c>
      <c r="V1545" s="5"/>
      <c r="W1545" s="6" t="s">
        <v>3291</v>
      </c>
    </row>
    <row r="1546" spans="1:23" x14ac:dyDescent="0.15">
      <c r="A1546" s="2" t="s">
        <v>221</v>
      </c>
      <c r="B1546" s="2" t="s">
        <v>3930</v>
      </c>
      <c r="C1546" s="2" t="s">
        <v>27</v>
      </c>
      <c r="D1546" s="2" t="s">
        <v>430</v>
      </c>
      <c r="E1546" s="1" t="s">
        <v>1006</v>
      </c>
      <c r="F1546" s="2" t="s">
        <v>26</v>
      </c>
      <c r="G1546" s="2" t="s">
        <v>374</v>
      </c>
      <c r="H1546" s="2" t="str">
        <f t="shared" si="50"/>
        <v>C</v>
      </c>
      <c r="I1546" s="5">
        <v>14.69</v>
      </c>
      <c r="J1546" s="5">
        <v>368.81</v>
      </c>
      <c r="K1546" s="5"/>
      <c r="L1546" s="5"/>
      <c r="M1546" s="2" t="s">
        <v>571</v>
      </c>
      <c r="N1546" s="5"/>
      <c r="O1546" s="5"/>
      <c r="P1546" s="5"/>
      <c r="R1546" s="5"/>
      <c r="S1546" s="5"/>
      <c r="T1546" s="2">
        <v>3</v>
      </c>
      <c r="U1546" s="2" t="str">
        <f>IF(T1546&lt;=1, "1",IF(AND(T1546&gt;1,T1546&lt;4), "2-3", "+4"))</f>
        <v>2-3</v>
      </c>
      <c r="V1546" s="5"/>
      <c r="W1546" s="6" t="s">
        <v>2923</v>
      </c>
    </row>
    <row r="1547" spans="1:23" x14ac:dyDescent="0.15">
      <c r="A1547" s="2" t="s">
        <v>221</v>
      </c>
      <c r="B1547" s="2" t="s">
        <v>3930</v>
      </c>
      <c r="C1547" s="2" t="s">
        <v>27</v>
      </c>
      <c r="D1547" s="2" t="s">
        <v>430</v>
      </c>
      <c r="E1547" s="1" t="s">
        <v>1006</v>
      </c>
      <c r="F1547" s="2" t="s">
        <v>858</v>
      </c>
      <c r="G1547" s="2" t="s">
        <v>374</v>
      </c>
      <c r="H1547" s="2" t="str">
        <f t="shared" si="50"/>
        <v>C</v>
      </c>
      <c r="I1547" s="5"/>
      <c r="J1547" s="5"/>
      <c r="K1547" s="5"/>
      <c r="L1547" s="5"/>
      <c r="M1547" s="2" t="s">
        <v>571</v>
      </c>
      <c r="N1547" s="5">
        <v>34.5</v>
      </c>
      <c r="O1547" s="5">
        <v>18</v>
      </c>
      <c r="P1547" s="5">
        <v>7.9</v>
      </c>
      <c r="Q1547" s="2" t="s">
        <v>18</v>
      </c>
      <c r="R1547" s="5"/>
      <c r="S1547" s="5"/>
      <c r="T1547" s="2">
        <f>MEDIAN(1,4)</f>
        <v>2.5</v>
      </c>
      <c r="U1547" s="2" t="str">
        <f>IF(T1547&lt;=1, "1",IF(AND(T1547&gt;1,T1547&lt;4), "2-3", "+4"))</f>
        <v>2-3</v>
      </c>
      <c r="V1547" s="5"/>
      <c r="W1547" s="6" t="s">
        <v>2924</v>
      </c>
    </row>
    <row r="1548" spans="1:23" x14ac:dyDescent="0.15">
      <c r="A1548" s="2" t="s">
        <v>221</v>
      </c>
      <c r="B1548" s="2" t="s">
        <v>3930</v>
      </c>
      <c r="C1548" s="2" t="s">
        <v>27</v>
      </c>
      <c r="D1548" s="2" t="s">
        <v>430</v>
      </c>
      <c r="E1548" s="1" t="s">
        <v>1006</v>
      </c>
      <c r="F1548" s="2" t="s">
        <v>26</v>
      </c>
      <c r="G1548" s="2" t="s">
        <v>374</v>
      </c>
      <c r="H1548" s="2" t="str">
        <f t="shared" si="50"/>
        <v>C</v>
      </c>
      <c r="I1548" s="5"/>
      <c r="J1548" s="5"/>
      <c r="K1548" s="5"/>
      <c r="L1548" s="7">
        <v>2.79</v>
      </c>
      <c r="M1548" s="2" t="s">
        <v>571</v>
      </c>
      <c r="N1548" s="5">
        <v>38.43</v>
      </c>
      <c r="O1548" s="5">
        <v>20.55</v>
      </c>
      <c r="P1548" s="5">
        <v>10.130000000000001</v>
      </c>
      <c r="Q1548" s="2" t="s">
        <v>18</v>
      </c>
      <c r="R1548" s="5">
        <v>28.31</v>
      </c>
      <c r="S1548" s="5"/>
      <c r="T1548" s="9">
        <f>MEDIAN(2,3)</f>
        <v>2.5</v>
      </c>
      <c r="U1548" s="2" t="str">
        <f>IF(T1548&lt;=1, "1",IF(AND(T1548&gt;1,T1548&lt;4), "2-3", "+4"))</f>
        <v>2-3</v>
      </c>
      <c r="V1548" s="5"/>
      <c r="W1548" s="6" t="s">
        <v>2925</v>
      </c>
    </row>
    <row r="1549" spans="1:23" ht="12.75" customHeight="1" x14ac:dyDescent="0.15">
      <c r="A1549" s="2" t="s">
        <v>221</v>
      </c>
      <c r="B1549" s="2" t="s">
        <v>3930</v>
      </c>
      <c r="C1549" s="2" t="s">
        <v>27</v>
      </c>
      <c r="D1549" s="2" t="s">
        <v>430</v>
      </c>
      <c r="E1549" s="1" t="s">
        <v>1007</v>
      </c>
      <c r="F1549" s="2" t="s">
        <v>374</v>
      </c>
      <c r="G1549" s="2" t="s">
        <v>374</v>
      </c>
      <c r="H1549" s="2" t="str">
        <f t="shared" si="50"/>
        <v>C</v>
      </c>
      <c r="I1549" s="5"/>
      <c r="J1549" s="5"/>
      <c r="K1549" s="5"/>
      <c r="L1549" s="5">
        <v>1.5</v>
      </c>
      <c r="M1549" s="2" t="s">
        <v>571</v>
      </c>
      <c r="N1549" s="5">
        <v>35.299999999999997</v>
      </c>
      <c r="O1549" s="5">
        <v>18.5</v>
      </c>
      <c r="P1549" s="5">
        <v>8.25</v>
      </c>
      <c r="Q1549" s="2" t="s">
        <v>18</v>
      </c>
      <c r="R1549" s="5">
        <v>12.375</v>
      </c>
      <c r="S1549" s="5"/>
      <c r="V1549" s="5"/>
      <c r="W1549" s="6" t="s">
        <v>2922</v>
      </c>
    </row>
    <row r="1550" spans="1:23" ht="12.75" customHeight="1" x14ac:dyDescent="0.15">
      <c r="A1550" s="2" t="s">
        <v>221</v>
      </c>
      <c r="B1550" s="2" t="s">
        <v>3930</v>
      </c>
      <c r="C1550" s="2" t="s">
        <v>27</v>
      </c>
      <c r="D1550" s="2" t="s">
        <v>430</v>
      </c>
      <c r="E1550" s="1" t="s">
        <v>1006</v>
      </c>
      <c r="F1550" s="2" t="s">
        <v>94</v>
      </c>
      <c r="G1550" s="2">
        <v>4</v>
      </c>
      <c r="H1550" s="2" t="str">
        <f t="shared" si="50"/>
        <v>W</v>
      </c>
      <c r="I1550" s="5"/>
      <c r="J1550" s="5"/>
      <c r="K1550" s="5"/>
      <c r="L1550" s="5"/>
      <c r="M1550" s="2" t="s">
        <v>571</v>
      </c>
      <c r="N1550" s="5">
        <v>35.57</v>
      </c>
      <c r="O1550" s="5">
        <v>20.47</v>
      </c>
      <c r="P1550" s="5">
        <f xml:space="preserve"> 0.218*N1550 +0.696*O1550 - 13.083</f>
        <v>8.9183799999999973</v>
      </c>
      <c r="Q1550" s="2" t="s">
        <v>376</v>
      </c>
      <c r="R1550" s="5"/>
      <c r="S1550" s="5"/>
      <c r="V1550" s="5"/>
      <c r="W1550" s="6" t="s">
        <v>2926</v>
      </c>
    </row>
    <row r="1551" spans="1:23" x14ac:dyDescent="0.15">
      <c r="A1551" s="2" t="s">
        <v>221</v>
      </c>
      <c r="B1551" s="2" t="s">
        <v>3930</v>
      </c>
      <c r="C1551" s="2" t="s">
        <v>27</v>
      </c>
      <c r="D1551" s="2" t="s">
        <v>430</v>
      </c>
      <c r="E1551" s="1" t="s">
        <v>3513</v>
      </c>
      <c r="F1551" s="2" t="s">
        <v>246</v>
      </c>
      <c r="G1551" s="2" t="s">
        <v>374</v>
      </c>
      <c r="H1551" s="2" t="str">
        <f t="shared" si="50"/>
        <v>C</v>
      </c>
      <c r="I1551" s="5">
        <f>EXP(LN(J1551/0.2212)/2.902)</f>
        <v>13.313223369577186</v>
      </c>
      <c r="J1551" s="5">
        <v>405</v>
      </c>
      <c r="K1551" s="5">
        <v>5</v>
      </c>
      <c r="L1551" s="5">
        <v>3.14</v>
      </c>
      <c r="M1551" s="2" t="s">
        <v>571</v>
      </c>
      <c r="N1551" s="5">
        <v>31.6</v>
      </c>
      <c r="O1551" s="5">
        <v>17.899999999999999</v>
      </c>
      <c r="P1551" s="5">
        <v>6.44</v>
      </c>
      <c r="Q1551" s="2" t="s">
        <v>18</v>
      </c>
      <c r="R1551" s="5">
        <v>20.22</v>
      </c>
      <c r="S1551" s="5">
        <v>4.99</v>
      </c>
      <c r="T1551" s="2">
        <v>2.52</v>
      </c>
      <c r="U1551" s="2" t="str">
        <f>IF(T1551&lt;=1, "1",IF(AND(T1551&gt;1,T1551&lt;4), "2-3", "+4"))</f>
        <v>2-3</v>
      </c>
      <c r="V1551" s="5">
        <f>S1551*T1551</f>
        <v>12.5748</v>
      </c>
      <c r="W1551" s="6" t="s">
        <v>3025</v>
      </c>
    </row>
    <row r="1552" spans="1:23" x14ac:dyDescent="0.15">
      <c r="A1552" s="2" t="s">
        <v>221</v>
      </c>
      <c r="B1552" s="2" t="s">
        <v>3930</v>
      </c>
      <c r="C1552" s="2" t="s">
        <v>27</v>
      </c>
      <c r="D1552" s="2" t="s">
        <v>430</v>
      </c>
      <c r="E1552" s="1" t="s">
        <v>3513</v>
      </c>
      <c r="F1552" s="2" t="s">
        <v>374</v>
      </c>
      <c r="G1552" s="2" t="s">
        <v>374</v>
      </c>
      <c r="H1552" s="2" t="str">
        <f t="shared" si="50"/>
        <v>C</v>
      </c>
      <c r="I1552" s="5">
        <v>15.5</v>
      </c>
      <c r="J1552" s="5">
        <v>661</v>
      </c>
      <c r="K1552" s="5"/>
      <c r="L1552" s="5">
        <v>3.75</v>
      </c>
      <c r="M1552" s="2" t="s">
        <v>571</v>
      </c>
      <c r="N1552" s="5">
        <v>36.5</v>
      </c>
      <c r="O1552" s="5">
        <v>17.5</v>
      </c>
      <c r="P1552" s="5">
        <v>7.05</v>
      </c>
      <c r="Q1552" s="2" t="s">
        <v>376</v>
      </c>
      <c r="R1552" s="5">
        <v>26.45</v>
      </c>
      <c r="S1552" s="5">
        <v>4</v>
      </c>
      <c r="T1552" s="2">
        <v>2</v>
      </c>
      <c r="U1552" s="2" t="str">
        <f>IF(T1552&lt;=1, "1",IF(AND(T1552&gt;1,T1552&lt;4), "2-3", "+4"))</f>
        <v>2-3</v>
      </c>
      <c r="V1552" s="5">
        <f>S1552*T1552</f>
        <v>8</v>
      </c>
      <c r="W1552" s="6" t="s">
        <v>2921</v>
      </c>
    </row>
    <row r="1553" spans="1:52" x14ac:dyDescent="0.15">
      <c r="A1553" s="4" t="s">
        <v>221</v>
      </c>
      <c r="B1553" s="2" t="s">
        <v>3930</v>
      </c>
      <c r="C1553" s="4" t="s">
        <v>27</v>
      </c>
      <c r="D1553" s="4" t="s">
        <v>430</v>
      </c>
      <c r="E1553" s="1" t="s">
        <v>1007</v>
      </c>
      <c r="F1553" s="2" t="s">
        <v>429</v>
      </c>
      <c r="G1553" s="4">
        <v>18.47</v>
      </c>
      <c r="H1553" s="2" t="str">
        <f t="shared" si="50"/>
        <v>W</v>
      </c>
      <c r="I1553" s="5">
        <v>11.01</v>
      </c>
      <c r="J1553" s="5">
        <f xml:space="preserve"> 0.2212*I1553^2.902</f>
        <v>233.37370566754984</v>
      </c>
      <c r="K1553" s="5">
        <v>9.5</v>
      </c>
      <c r="L1553" s="5">
        <v>2.2000000000000002</v>
      </c>
      <c r="M1553" s="2" t="s">
        <v>571</v>
      </c>
      <c r="N1553" s="5">
        <v>31.4</v>
      </c>
      <c r="O1553" s="5">
        <v>16.899999999999999</v>
      </c>
      <c r="P1553" s="5">
        <v>5.41</v>
      </c>
      <c r="Q1553" s="2" t="s">
        <v>18</v>
      </c>
      <c r="R1553" s="5">
        <v>11.85</v>
      </c>
      <c r="S1553" s="5">
        <v>4.8499999999999996</v>
      </c>
      <c r="T1553" s="2">
        <v>2.8</v>
      </c>
      <c r="U1553" s="2" t="str">
        <f>IF(T1553&lt;=1, "1",IF(AND(T1553&gt;1,T1553&lt;4), "2-3", "+4"))</f>
        <v>2-3</v>
      </c>
      <c r="V1553" s="5">
        <v>18.18</v>
      </c>
      <c r="W1553" s="10" t="s">
        <v>1846</v>
      </c>
    </row>
    <row r="1554" spans="1:52" x14ac:dyDescent="0.15">
      <c r="A1554" s="2" t="s">
        <v>221</v>
      </c>
      <c r="B1554" s="2" t="s">
        <v>3930</v>
      </c>
      <c r="C1554" s="2" t="s">
        <v>27</v>
      </c>
      <c r="D1554" s="2" t="s">
        <v>430</v>
      </c>
      <c r="E1554" s="1" t="s">
        <v>3513</v>
      </c>
      <c r="F1554" s="4" t="s">
        <v>246</v>
      </c>
      <c r="G1554" s="4"/>
      <c r="H1554" s="2" t="s">
        <v>3887</v>
      </c>
      <c r="I1554" s="5"/>
      <c r="J1554" s="5"/>
      <c r="K1554" s="5"/>
      <c r="L1554" s="5">
        <v>2</v>
      </c>
      <c r="M1554" s="2" t="s">
        <v>571</v>
      </c>
      <c r="N1554" s="5">
        <v>39.6</v>
      </c>
      <c r="O1554" s="5">
        <v>15</v>
      </c>
      <c r="P1554" s="5">
        <v>6.01</v>
      </c>
      <c r="Q1554" s="2" t="s">
        <v>18</v>
      </c>
      <c r="R1554" s="5">
        <f>P1554*L1554</f>
        <v>12.02</v>
      </c>
      <c r="S1554" s="5"/>
      <c r="V1554" s="5"/>
      <c r="W1554" s="10" t="s">
        <v>1846</v>
      </c>
    </row>
    <row r="1555" spans="1:52" ht="12.75" customHeight="1" x14ac:dyDescent="0.15">
      <c r="A1555" s="2" t="s">
        <v>221</v>
      </c>
      <c r="B1555" s="2" t="s">
        <v>3930</v>
      </c>
      <c r="C1555" s="2" t="s">
        <v>27</v>
      </c>
      <c r="D1555" s="2" t="s">
        <v>430</v>
      </c>
      <c r="E1555" s="1" t="s">
        <v>1007</v>
      </c>
      <c r="F1555" s="2" t="s">
        <v>374</v>
      </c>
      <c r="G1555" s="2" t="s">
        <v>374</v>
      </c>
      <c r="H1555" s="2" t="str">
        <f t="shared" si="50"/>
        <v>C</v>
      </c>
      <c r="I1555" s="5"/>
      <c r="J1555" s="5"/>
      <c r="K1555" s="5"/>
      <c r="L1555" s="5">
        <v>1.5</v>
      </c>
      <c r="M1555" s="2" t="s">
        <v>571</v>
      </c>
      <c r="N1555" s="5">
        <v>35.83</v>
      </c>
      <c r="O1555" s="5">
        <v>18</v>
      </c>
      <c r="P1555" s="5">
        <f xml:space="preserve"> 0.218*N1555 +0.696*O1555 - 13.083</f>
        <v>7.2559399999999972</v>
      </c>
      <c r="Q1555" s="2" t="s">
        <v>376</v>
      </c>
      <c r="R1555" s="5">
        <f>P1555*L1555</f>
        <v>10.883909999999997</v>
      </c>
      <c r="S1555" s="5"/>
      <c r="T1555" s="9">
        <f>MEDIAN(1,2)</f>
        <v>1.5</v>
      </c>
      <c r="U1555" s="2" t="str">
        <f>IF(T1555&lt;=1, "1",IF(AND(T1555&gt;1,T1555&lt;4), "2-3", "+4"))</f>
        <v>2-3</v>
      </c>
      <c r="V1555" s="5"/>
      <c r="W1555" s="6" t="s">
        <v>2906</v>
      </c>
    </row>
    <row r="1556" spans="1:52" x14ac:dyDescent="0.15">
      <c r="A1556" s="2" t="s">
        <v>221</v>
      </c>
      <c r="B1556" s="2" t="s">
        <v>3930</v>
      </c>
      <c r="C1556" s="2" t="s">
        <v>27</v>
      </c>
      <c r="D1556" s="2" t="s">
        <v>430</v>
      </c>
      <c r="E1556" s="1" t="s">
        <v>1006</v>
      </c>
      <c r="F1556" s="2" t="s">
        <v>374</v>
      </c>
      <c r="G1556" s="2" t="s">
        <v>374</v>
      </c>
      <c r="H1556" s="2" t="str">
        <f t="shared" si="50"/>
        <v>C</v>
      </c>
      <c r="I1556" s="5">
        <v>14</v>
      </c>
      <c r="J1556" s="5">
        <v>386</v>
      </c>
      <c r="K1556" s="5"/>
      <c r="L1556" s="5">
        <v>2.7</v>
      </c>
      <c r="M1556" s="5" t="s">
        <v>571</v>
      </c>
      <c r="N1556" s="5"/>
      <c r="O1556" s="5"/>
      <c r="P1556" s="5"/>
      <c r="R1556" s="5"/>
      <c r="S1556" s="5"/>
      <c r="T1556" s="2">
        <f>MEDIAN(3,4)</f>
        <v>3.5</v>
      </c>
      <c r="U1556" s="2" t="str">
        <f>IF(T1556&lt;=1, "1",IF(AND(T1556&gt;1,T1556&lt;4), "2-3", "+4"))</f>
        <v>2-3</v>
      </c>
      <c r="V1556" s="5"/>
      <c r="W1556" s="6" t="s">
        <v>2927</v>
      </c>
    </row>
    <row r="1557" spans="1:52" x14ac:dyDescent="0.15">
      <c r="A1557" s="1" t="s">
        <v>221</v>
      </c>
      <c r="B1557" s="2" t="s">
        <v>3930</v>
      </c>
      <c r="C1557" s="2" t="s">
        <v>27</v>
      </c>
      <c r="D1557" s="1" t="s">
        <v>430</v>
      </c>
      <c r="E1557" s="1" t="s">
        <v>3513</v>
      </c>
      <c r="F1557" s="1" t="s">
        <v>73</v>
      </c>
      <c r="G1557" s="1">
        <v>10.35</v>
      </c>
      <c r="H1557" s="2" t="str">
        <f t="shared" si="50"/>
        <v>W</v>
      </c>
      <c r="I1557" s="8">
        <v>18.41</v>
      </c>
      <c r="J1557" s="8">
        <v>694</v>
      </c>
      <c r="K1557" s="8"/>
      <c r="L1557" s="8">
        <v>3.8</v>
      </c>
      <c r="M1557" s="1"/>
      <c r="N1557" s="8">
        <v>32.6</v>
      </c>
      <c r="O1557" s="8">
        <v>17.899999999999999</v>
      </c>
      <c r="P1557" s="8">
        <v>6.34</v>
      </c>
      <c r="Q1557" s="1" t="s">
        <v>18</v>
      </c>
      <c r="R1557" s="8">
        <v>24.09</v>
      </c>
      <c r="S1557" s="8">
        <v>3.47</v>
      </c>
      <c r="T1557" s="1"/>
      <c r="U1557" s="1"/>
      <c r="V1557" s="8"/>
      <c r="W1557" s="3" t="s">
        <v>3998</v>
      </c>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row>
    <row r="1558" spans="1:52" x14ac:dyDescent="0.15">
      <c r="A1558" s="2" t="s">
        <v>221</v>
      </c>
      <c r="B1558" s="2" t="s">
        <v>3930</v>
      </c>
      <c r="C1558" s="2" t="s">
        <v>27</v>
      </c>
      <c r="D1558" s="2" t="s">
        <v>430</v>
      </c>
      <c r="E1558" s="1" t="s">
        <v>1006</v>
      </c>
      <c r="F1558" s="2" t="s">
        <v>26</v>
      </c>
      <c r="G1558" s="2" t="s">
        <v>374</v>
      </c>
      <c r="H1558" s="2" t="str">
        <f t="shared" si="50"/>
        <v>C</v>
      </c>
      <c r="I1558" s="5"/>
      <c r="J1558" s="5"/>
      <c r="K1558" s="5"/>
      <c r="L1558" s="7">
        <f>MEDIAN(2,4)</f>
        <v>3</v>
      </c>
      <c r="M1558" s="2" t="s">
        <v>571</v>
      </c>
      <c r="N1558" s="5"/>
      <c r="O1558" s="5"/>
      <c r="P1558" s="5">
        <f>MEDIAN(7.4,9.9)</f>
        <v>8.65</v>
      </c>
      <c r="Q1558" s="2" t="s">
        <v>18</v>
      </c>
      <c r="R1558" s="5">
        <f>P1558*L1558</f>
        <v>25.950000000000003</v>
      </c>
      <c r="S1558" s="5"/>
      <c r="T1558" s="9">
        <f>MEDIAN(1,4)</f>
        <v>2.5</v>
      </c>
      <c r="U1558" s="2" t="str">
        <f>IF(T1558&lt;=1, "1",IF(AND(T1558&gt;1,T1558&lt;4), "2-3", "+4"))</f>
        <v>2-3</v>
      </c>
      <c r="V1558" s="5"/>
      <c r="W1558" s="6" t="s">
        <v>2928</v>
      </c>
    </row>
    <row r="1559" spans="1:52" x14ac:dyDescent="0.15">
      <c r="A1559" s="2" t="s">
        <v>221</v>
      </c>
      <c r="B1559" s="2" t="s">
        <v>3930</v>
      </c>
      <c r="C1559" s="2" t="s">
        <v>27</v>
      </c>
      <c r="D1559" s="2" t="s">
        <v>430</v>
      </c>
      <c r="E1559" s="1" t="s">
        <v>1006</v>
      </c>
      <c r="F1559" s="2" t="s">
        <v>3866</v>
      </c>
      <c r="G1559" s="2" t="s">
        <v>374</v>
      </c>
      <c r="H1559" s="2" t="str">
        <f t="shared" si="50"/>
        <v>C</v>
      </c>
      <c r="I1559" s="5"/>
      <c r="J1559" s="5"/>
      <c r="K1559" s="5"/>
      <c r="L1559" s="5">
        <v>3.4</v>
      </c>
      <c r="M1559" s="2" t="s">
        <v>571</v>
      </c>
      <c r="N1559" s="5"/>
      <c r="O1559" s="5">
        <f>(P1559+9.9663)/0.9303</f>
        <v>20.602278834784478</v>
      </c>
      <c r="P1559" s="5">
        <v>9.1999999999999993</v>
      </c>
      <c r="Q1559" s="2" t="s">
        <v>18</v>
      </c>
      <c r="R1559" s="5">
        <v>31.28</v>
      </c>
      <c r="S1559" s="5"/>
      <c r="T1559" s="7"/>
      <c r="U1559" s="7"/>
      <c r="V1559" s="5"/>
      <c r="W1559" s="6" t="s">
        <v>2920</v>
      </c>
    </row>
    <row r="1560" spans="1:52" x14ac:dyDescent="0.15">
      <c r="A1560" s="2" t="s">
        <v>221</v>
      </c>
      <c r="B1560" s="2" t="s">
        <v>3930</v>
      </c>
      <c r="C1560" s="2" t="s">
        <v>27</v>
      </c>
      <c r="D1560" s="2" t="s">
        <v>430</v>
      </c>
      <c r="E1560" s="1" t="s">
        <v>1006</v>
      </c>
      <c r="F1560" s="2" t="s">
        <v>850</v>
      </c>
      <c r="H1560" s="2" t="s">
        <v>3887</v>
      </c>
      <c r="I1560" s="5"/>
      <c r="J1560" s="5"/>
      <c r="K1560" s="5"/>
      <c r="L1560" s="5">
        <f>MEDIAN(2,6)</f>
        <v>4</v>
      </c>
      <c r="M1560" s="5" t="s">
        <v>571</v>
      </c>
      <c r="N1560" s="5">
        <v>40</v>
      </c>
      <c r="O1560" s="5">
        <v>20</v>
      </c>
      <c r="P1560" s="5">
        <f xml:space="preserve"> (0.218*N1560) +(0.696*O1560) - 13.083</f>
        <v>9.5570000000000004</v>
      </c>
      <c r="Q1560" s="2" t="s">
        <v>376</v>
      </c>
      <c r="R1560" s="5">
        <f>P1560*L1560</f>
        <v>38.228000000000002</v>
      </c>
      <c r="S1560" s="5"/>
      <c r="V1560" s="5"/>
      <c r="W1560" s="6" t="s">
        <v>2165</v>
      </c>
    </row>
    <row r="1561" spans="1:52" x14ac:dyDescent="0.15">
      <c r="A1561" s="2" t="s">
        <v>221</v>
      </c>
      <c r="B1561" s="2" t="s">
        <v>3930</v>
      </c>
      <c r="C1561" s="2" t="s">
        <v>27</v>
      </c>
      <c r="D1561" s="2" t="s">
        <v>430</v>
      </c>
      <c r="E1561" s="1" t="s">
        <v>1006</v>
      </c>
      <c r="F1561" s="2" t="s">
        <v>58</v>
      </c>
      <c r="G1561" s="2">
        <v>10.5</v>
      </c>
      <c r="H1561" s="2" t="str">
        <f t="shared" si="50"/>
        <v>W</v>
      </c>
      <c r="I1561" s="5">
        <v>12.9</v>
      </c>
      <c r="J1561" s="5">
        <v>296.60000000000002</v>
      </c>
      <c r="K1561" s="5"/>
      <c r="L1561" s="5">
        <v>3</v>
      </c>
      <c r="M1561" s="2" t="s">
        <v>571</v>
      </c>
      <c r="N1561" s="5">
        <v>38.25</v>
      </c>
      <c r="O1561" s="5">
        <v>18.25</v>
      </c>
      <c r="P1561" s="5">
        <f xml:space="preserve"> 0.218*N1561 +0.696*O1561 - 13.083</f>
        <v>7.9575000000000014</v>
      </c>
      <c r="Q1561" s="2" t="s">
        <v>376</v>
      </c>
      <c r="R1561" s="5">
        <v>23.88</v>
      </c>
      <c r="S1561" s="5">
        <v>8.0500000000000007</v>
      </c>
      <c r="T1561" s="2" t="s">
        <v>372</v>
      </c>
      <c r="U1561" s="40" t="s">
        <v>395</v>
      </c>
      <c r="V1561" s="5"/>
      <c r="W1561" s="6" t="s">
        <v>2929</v>
      </c>
    </row>
    <row r="1562" spans="1:52" x14ac:dyDescent="0.15">
      <c r="A1562" s="2" t="s">
        <v>221</v>
      </c>
      <c r="B1562" s="2" t="s">
        <v>3930</v>
      </c>
      <c r="C1562" s="2" t="s">
        <v>27</v>
      </c>
      <c r="D1562" s="2" t="s">
        <v>777</v>
      </c>
      <c r="E1562" s="1" t="s">
        <v>1008</v>
      </c>
      <c r="F1562" s="2" t="s">
        <v>258</v>
      </c>
      <c r="G1562" s="2">
        <v>34.01</v>
      </c>
      <c r="H1562" s="2" t="str">
        <f t="shared" si="50"/>
        <v>W</v>
      </c>
      <c r="I1562" s="5">
        <v>10.4</v>
      </c>
      <c r="J1562" s="5">
        <v>179.1</v>
      </c>
      <c r="K1562" s="5">
        <v>8</v>
      </c>
      <c r="L1562" s="5">
        <v>2.8</v>
      </c>
      <c r="M1562" s="2" t="s">
        <v>571</v>
      </c>
      <c r="N1562" s="5">
        <v>31.09</v>
      </c>
      <c r="O1562" s="5">
        <v>14.38</v>
      </c>
      <c r="P1562" s="5">
        <v>3.8260000000000001</v>
      </c>
      <c r="Q1562" s="2" t="s">
        <v>18</v>
      </c>
      <c r="R1562" s="5">
        <f>P1562*L1562</f>
        <v>10.7128</v>
      </c>
      <c r="S1562" s="5">
        <f>(R1562/J1562)*100</f>
        <v>5.9814628699050809</v>
      </c>
      <c r="T1562" s="2">
        <v>2</v>
      </c>
      <c r="U1562" s="2" t="str">
        <f>IF(T1562&lt;=1, "1",IF(AND(T1562&gt;1,T1562&lt;4), "2-3", "+4"))</f>
        <v>2-3</v>
      </c>
      <c r="V1562" s="5">
        <f>S1562*T1562</f>
        <v>11.962925739810162</v>
      </c>
      <c r="W1562" s="6" t="s">
        <v>3324</v>
      </c>
    </row>
    <row r="1563" spans="1:52" x14ac:dyDescent="0.15">
      <c r="A1563" s="2" t="s">
        <v>221</v>
      </c>
      <c r="B1563" s="2" t="s">
        <v>3930</v>
      </c>
      <c r="C1563" s="2" t="s">
        <v>27</v>
      </c>
      <c r="D1563" s="2" t="s">
        <v>777</v>
      </c>
      <c r="E1563" s="1" t="s">
        <v>1008</v>
      </c>
      <c r="F1563" s="2" t="s">
        <v>2039</v>
      </c>
      <c r="G1563" s="2">
        <v>33.83</v>
      </c>
      <c r="H1563" s="2" t="str">
        <f t="shared" si="50"/>
        <v>W</v>
      </c>
      <c r="I1563" s="5">
        <v>13.5</v>
      </c>
      <c r="J1563" s="5">
        <v>392.8</v>
      </c>
      <c r="K1563" s="5">
        <v>12</v>
      </c>
      <c r="L1563" s="5">
        <v>5.3</v>
      </c>
      <c r="M1563" s="2" t="s">
        <v>571</v>
      </c>
      <c r="N1563" s="5"/>
      <c r="O1563" s="5"/>
      <c r="P1563" s="5"/>
      <c r="Q1563" s="2" t="s">
        <v>18</v>
      </c>
      <c r="R1563" s="5"/>
      <c r="S1563" s="5"/>
      <c r="V1563" s="5"/>
      <c r="W1563" s="6" t="s">
        <v>3324</v>
      </c>
    </row>
    <row r="1564" spans="1:52" x14ac:dyDescent="0.15">
      <c r="A1564" s="2" t="s">
        <v>221</v>
      </c>
      <c r="B1564" s="2" t="s">
        <v>3930</v>
      </c>
      <c r="C1564" s="2" t="s">
        <v>27</v>
      </c>
      <c r="D1564" s="2" t="s">
        <v>777</v>
      </c>
      <c r="E1564" s="1" t="s">
        <v>1008</v>
      </c>
      <c r="F1564" s="4" t="s">
        <v>252</v>
      </c>
      <c r="G1564" s="4">
        <v>34.630000000000003</v>
      </c>
      <c r="H1564" s="2" t="str">
        <f t="shared" si="50"/>
        <v>W</v>
      </c>
      <c r="I1564" s="5">
        <f>MEDIAN(11.15,12.5)</f>
        <v>11.824999999999999</v>
      </c>
      <c r="J1564" s="5">
        <f xml:space="preserve"> 0.000162*(I1564*10)^2.997</f>
        <v>264.05844370124265</v>
      </c>
      <c r="K1564" s="5"/>
      <c r="L1564" s="5">
        <v>4.96</v>
      </c>
      <c r="M1564" s="2" t="s">
        <v>571</v>
      </c>
      <c r="N1564" s="5"/>
      <c r="O1564" s="5">
        <v>19.399999999999999</v>
      </c>
      <c r="P1564" s="5"/>
      <c r="R1564" s="5"/>
      <c r="S1564" s="5"/>
      <c r="V1564" s="5"/>
      <c r="W1564" s="6" t="s">
        <v>2041</v>
      </c>
    </row>
    <row r="1565" spans="1:52" x14ac:dyDescent="0.15">
      <c r="A1565" s="2" t="s">
        <v>221</v>
      </c>
      <c r="B1565" s="2" t="s">
        <v>3930</v>
      </c>
      <c r="C1565" s="2" t="s">
        <v>27</v>
      </c>
      <c r="D1565" s="2" t="s">
        <v>777</v>
      </c>
      <c r="E1565" s="1" t="s">
        <v>1008</v>
      </c>
      <c r="F1565" s="2" t="s">
        <v>248</v>
      </c>
      <c r="G1565" s="2">
        <v>34.65</v>
      </c>
      <c r="H1565" s="2" t="str">
        <f t="shared" si="50"/>
        <v>W</v>
      </c>
      <c r="I1565" s="5">
        <v>13.81</v>
      </c>
      <c r="J1565" s="5">
        <f xml:space="preserve"> 0.000162*(I1565*10)^2.997</f>
        <v>420.4123537741599</v>
      </c>
      <c r="K1565" s="5"/>
      <c r="L1565" s="5">
        <v>5.29</v>
      </c>
      <c r="M1565" s="2" t="s">
        <v>571</v>
      </c>
      <c r="N1565" s="5">
        <f t="shared" ref="N1565:N1575" si="51" xml:space="preserve"> (P1565 - (0.675*O1565) + 12.269)/0.201</f>
        <v>35.671840796019893</v>
      </c>
      <c r="O1565" s="5">
        <v>19.54</v>
      </c>
      <c r="P1565" s="8">
        <f xml:space="preserve"> 1.001*O1565 - 11.469</f>
        <v>8.090539999999999</v>
      </c>
      <c r="Q1565" s="2" t="s">
        <v>376</v>
      </c>
      <c r="R1565" s="5">
        <v>41.83</v>
      </c>
      <c r="S1565" s="5">
        <f>(R1565/J1565)*100</f>
        <v>9.9497551926056236</v>
      </c>
      <c r="T1565" s="2" t="s">
        <v>2760</v>
      </c>
      <c r="V1565" s="5"/>
      <c r="W1565" s="6" t="s">
        <v>2041</v>
      </c>
    </row>
    <row r="1566" spans="1:52" x14ac:dyDescent="0.15">
      <c r="A1566" s="2" t="s">
        <v>221</v>
      </c>
      <c r="B1566" s="2" t="s">
        <v>3930</v>
      </c>
      <c r="C1566" s="2" t="s">
        <v>27</v>
      </c>
      <c r="D1566" s="2" t="s">
        <v>777</v>
      </c>
      <c r="E1566" s="1" t="s">
        <v>1008</v>
      </c>
      <c r="F1566" s="2" t="s">
        <v>258</v>
      </c>
      <c r="G1566" s="2">
        <v>33.950000000000003</v>
      </c>
      <c r="H1566" s="2" t="str">
        <f t="shared" si="50"/>
        <v>W</v>
      </c>
      <c r="I1566" s="5">
        <v>11.2</v>
      </c>
      <c r="J1566" s="5">
        <v>245</v>
      </c>
      <c r="K1566" s="5">
        <v>6</v>
      </c>
      <c r="L1566" s="5">
        <v>3.09</v>
      </c>
      <c r="M1566" s="2" t="s">
        <v>571</v>
      </c>
      <c r="N1566" s="5">
        <f t="shared" si="51"/>
        <v>28.64427860696517</v>
      </c>
      <c r="O1566" s="5">
        <v>17.38</v>
      </c>
      <c r="P1566" s="5">
        <v>5.22</v>
      </c>
      <c r="Q1566" s="2" t="s">
        <v>18</v>
      </c>
      <c r="R1566" s="5">
        <v>16.36</v>
      </c>
      <c r="S1566" s="5">
        <v>6.7</v>
      </c>
      <c r="T1566" s="2">
        <v>4</v>
      </c>
      <c r="U1566" s="2" t="str">
        <f t="shared" ref="U1566:U1575" si="52">IF(T1566&lt;=1, "1",IF(AND(T1566&gt;1,T1566&lt;4), "2-3", "+4"))</f>
        <v>+4</v>
      </c>
      <c r="V1566" s="5">
        <v>26.1</v>
      </c>
      <c r="W1566" s="6" t="s">
        <v>1847</v>
      </c>
    </row>
    <row r="1567" spans="1:52" x14ac:dyDescent="0.15">
      <c r="A1567" s="2" t="s">
        <v>221</v>
      </c>
      <c r="B1567" s="2" t="s">
        <v>3930</v>
      </c>
      <c r="C1567" s="2" t="s">
        <v>27</v>
      </c>
      <c r="D1567" s="2" t="s">
        <v>777</v>
      </c>
      <c r="E1567" s="1" t="s">
        <v>1008</v>
      </c>
      <c r="F1567" s="2" t="s">
        <v>251</v>
      </c>
      <c r="G1567" s="2">
        <v>34.630000000000003</v>
      </c>
      <c r="H1567" s="2" t="str">
        <f t="shared" si="50"/>
        <v>W</v>
      </c>
      <c r="I1567" s="5">
        <v>11.4</v>
      </c>
      <c r="J1567" s="5">
        <v>253</v>
      </c>
      <c r="K1567" s="5">
        <v>6</v>
      </c>
      <c r="L1567" s="5">
        <v>3.4</v>
      </c>
      <c r="M1567" s="2" t="s">
        <v>571</v>
      </c>
      <c r="N1567" s="5">
        <f t="shared" si="51"/>
        <v>28.817164179104473</v>
      </c>
      <c r="O1567" s="5">
        <v>17.61</v>
      </c>
      <c r="P1567" s="5">
        <v>5.41</v>
      </c>
      <c r="Q1567" s="2" t="s">
        <v>18</v>
      </c>
      <c r="R1567" s="5">
        <v>18.309999999999999</v>
      </c>
      <c r="S1567" s="5">
        <v>7.2</v>
      </c>
      <c r="T1567" s="2">
        <v>4</v>
      </c>
      <c r="U1567" s="2" t="str">
        <f t="shared" si="52"/>
        <v>+4</v>
      </c>
      <c r="V1567" s="5">
        <f>S1567*T1567</f>
        <v>28.8</v>
      </c>
      <c r="W1567" s="6" t="s">
        <v>1847</v>
      </c>
    </row>
    <row r="1568" spans="1:52" x14ac:dyDescent="0.15">
      <c r="A1568" s="2" t="s">
        <v>221</v>
      </c>
      <c r="B1568" s="2" t="s">
        <v>3930</v>
      </c>
      <c r="C1568" s="2" t="s">
        <v>27</v>
      </c>
      <c r="D1568" s="2" t="s">
        <v>777</v>
      </c>
      <c r="E1568" s="1" t="s">
        <v>1008</v>
      </c>
      <c r="F1568" s="2" t="s">
        <v>249</v>
      </c>
      <c r="G1568" s="2">
        <v>34.57</v>
      </c>
      <c r="H1568" s="2" t="str">
        <f t="shared" si="50"/>
        <v>W</v>
      </c>
      <c r="I1568" s="5">
        <v>12.9</v>
      </c>
      <c r="J1568" s="5">
        <v>358</v>
      </c>
      <c r="K1568" s="5">
        <v>6</v>
      </c>
      <c r="L1568" s="5">
        <v>3.83</v>
      </c>
      <c r="M1568" s="2" t="s">
        <v>571</v>
      </c>
      <c r="N1568" s="5">
        <f t="shared" si="51"/>
        <v>28.861940298507456</v>
      </c>
      <c r="O1568" s="5">
        <v>18.53</v>
      </c>
      <c r="P1568" s="5">
        <v>6.04</v>
      </c>
      <c r="Q1568" s="2" t="s">
        <v>18</v>
      </c>
      <c r="R1568" s="5">
        <v>23.05</v>
      </c>
      <c r="S1568" s="5">
        <v>6.4</v>
      </c>
      <c r="T1568" s="2">
        <v>4</v>
      </c>
      <c r="U1568" s="2" t="str">
        <f t="shared" si="52"/>
        <v>+4</v>
      </c>
      <c r="V1568" s="5">
        <v>27.3</v>
      </c>
      <c r="W1568" s="6" t="s">
        <v>1847</v>
      </c>
    </row>
    <row r="1569" spans="1:23" x14ac:dyDescent="0.15">
      <c r="A1569" s="2" t="s">
        <v>221</v>
      </c>
      <c r="B1569" s="2" t="s">
        <v>3930</v>
      </c>
      <c r="C1569" s="2" t="s">
        <v>27</v>
      </c>
      <c r="D1569" s="2" t="s">
        <v>777</v>
      </c>
      <c r="E1569" s="1" t="s">
        <v>1008</v>
      </c>
      <c r="F1569" s="2" t="s">
        <v>257</v>
      </c>
      <c r="H1569" s="2" t="s">
        <v>3887</v>
      </c>
      <c r="I1569" s="5">
        <v>11.5</v>
      </c>
      <c r="J1569" s="5">
        <v>247</v>
      </c>
      <c r="K1569" s="5">
        <v>6</v>
      </c>
      <c r="L1569" s="5">
        <v>3.94</v>
      </c>
      <c r="M1569" s="2" t="s">
        <v>571</v>
      </c>
      <c r="N1569" s="5">
        <f t="shared" si="51"/>
        <v>28.752487562189046</v>
      </c>
      <c r="O1569" s="5">
        <v>16.37</v>
      </c>
      <c r="P1569" s="5">
        <v>4.5599999999999996</v>
      </c>
      <c r="Q1569" s="2" t="s">
        <v>18</v>
      </c>
      <c r="R1569" s="5">
        <v>16.29</v>
      </c>
      <c r="S1569" s="5">
        <v>7</v>
      </c>
      <c r="T1569" s="2">
        <v>2.5</v>
      </c>
      <c r="U1569" s="2" t="str">
        <f t="shared" si="52"/>
        <v>2-3</v>
      </c>
      <c r="V1569" s="5">
        <f>S1569*T1569</f>
        <v>17.5</v>
      </c>
      <c r="W1569" s="6" t="s">
        <v>1847</v>
      </c>
    </row>
    <row r="1570" spans="1:23" x14ac:dyDescent="0.15">
      <c r="A1570" s="2" t="s">
        <v>221</v>
      </c>
      <c r="B1570" s="2" t="s">
        <v>3930</v>
      </c>
      <c r="C1570" s="2" t="s">
        <v>27</v>
      </c>
      <c r="D1570" s="2" t="s">
        <v>777</v>
      </c>
      <c r="E1570" s="1" t="s">
        <v>1008</v>
      </c>
      <c r="F1570" s="2" t="s">
        <v>253</v>
      </c>
      <c r="G1570" s="2">
        <v>31.93</v>
      </c>
      <c r="H1570" s="2" t="str">
        <f t="shared" si="50"/>
        <v>W</v>
      </c>
      <c r="I1570" s="5">
        <v>12.4</v>
      </c>
      <c r="J1570" s="5">
        <v>326</v>
      </c>
      <c r="K1570" s="5">
        <v>6</v>
      </c>
      <c r="L1570" s="5">
        <v>4.5</v>
      </c>
      <c r="M1570" s="2" t="s">
        <v>571</v>
      </c>
      <c r="N1570" s="5">
        <f t="shared" si="51"/>
        <v>28.303482587064678</v>
      </c>
      <c r="O1570" s="5">
        <v>17.2</v>
      </c>
      <c r="P1570" s="5">
        <v>5.03</v>
      </c>
      <c r="Q1570" s="2" t="s">
        <v>18</v>
      </c>
      <c r="R1570" s="5">
        <v>22.13</v>
      </c>
      <c r="S1570" s="5">
        <v>6.79</v>
      </c>
      <c r="T1570" s="2">
        <v>4</v>
      </c>
      <c r="U1570" s="2" t="str">
        <f t="shared" si="52"/>
        <v>+4</v>
      </c>
      <c r="V1570" s="5">
        <v>27.15</v>
      </c>
      <c r="W1570" s="6" t="s">
        <v>1847</v>
      </c>
    </row>
    <row r="1571" spans="1:23" x14ac:dyDescent="0.15">
      <c r="A1571" s="2" t="s">
        <v>221</v>
      </c>
      <c r="B1571" s="2" t="s">
        <v>3930</v>
      </c>
      <c r="C1571" s="2" t="s">
        <v>27</v>
      </c>
      <c r="D1571" s="2" t="s">
        <v>777</v>
      </c>
      <c r="E1571" s="1" t="s">
        <v>1008</v>
      </c>
      <c r="F1571" s="2" t="s">
        <v>254</v>
      </c>
      <c r="G1571" s="2">
        <v>31.5</v>
      </c>
      <c r="H1571" s="2" t="str">
        <f t="shared" si="50"/>
        <v>W</v>
      </c>
      <c r="I1571" s="5">
        <v>13.5</v>
      </c>
      <c r="J1571" s="5">
        <v>432</v>
      </c>
      <c r="K1571" s="5">
        <v>6</v>
      </c>
      <c r="L1571" s="5">
        <v>5</v>
      </c>
      <c r="M1571" s="2" t="s">
        <v>571</v>
      </c>
      <c r="N1571" s="5">
        <f t="shared" si="51"/>
        <v>28.850746268656707</v>
      </c>
      <c r="O1571" s="5">
        <v>18.8</v>
      </c>
      <c r="P1571" s="5">
        <v>6.22</v>
      </c>
      <c r="Q1571" s="2" t="s">
        <v>18</v>
      </c>
      <c r="R1571" s="5">
        <v>33</v>
      </c>
      <c r="S1571" s="5">
        <v>7.6</v>
      </c>
      <c r="T1571" s="2">
        <v>4</v>
      </c>
      <c r="U1571" s="2" t="str">
        <f t="shared" si="52"/>
        <v>+4</v>
      </c>
      <c r="V1571" s="5">
        <f>S1571*T1571</f>
        <v>30.4</v>
      </c>
      <c r="W1571" s="6" t="s">
        <v>1847</v>
      </c>
    </row>
    <row r="1572" spans="1:23" x14ac:dyDescent="0.15">
      <c r="A1572" s="2" t="s">
        <v>221</v>
      </c>
      <c r="B1572" s="2" t="s">
        <v>3930</v>
      </c>
      <c r="C1572" s="2" t="s">
        <v>27</v>
      </c>
      <c r="D1572" s="2" t="s">
        <v>777</v>
      </c>
      <c r="E1572" s="1" t="s">
        <v>1008</v>
      </c>
      <c r="F1572" s="2" t="s">
        <v>874</v>
      </c>
      <c r="G1572" s="2">
        <v>34.630000000000003</v>
      </c>
      <c r="H1572" s="2" t="str">
        <f t="shared" si="50"/>
        <v>W</v>
      </c>
      <c r="I1572" s="5">
        <v>13.8</v>
      </c>
      <c r="J1572" s="5">
        <v>449</v>
      </c>
      <c r="K1572" s="5">
        <v>6</v>
      </c>
      <c r="L1572" s="5">
        <v>5.35</v>
      </c>
      <c r="M1572" s="2" t="s">
        <v>571</v>
      </c>
      <c r="N1572" s="5">
        <f t="shared" si="51"/>
        <v>28.840796019900498</v>
      </c>
      <c r="O1572" s="5">
        <v>18.239999999999998</v>
      </c>
      <c r="P1572" s="5">
        <v>5.84</v>
      </c>
      <c r="Q1572" s="2" t="s">
        <v>18</v>
      </c>
      <c r="R1572" s="5">
        <v>31.27</v>
      </c>
      <c r="S1572" s="5">
        <v>6.9</v>
      </c>
      <c r="T1572" s="2">
        <v>4</v>
      </c>
      <c r="U1572" s="2" t="str">
        <f t="shared" si="52"/>
        <v>+4</v>
      </c>
      <c r="V1572" s="5">
        <v>27.9</v>
      </c>
      <c r="W1572" s="6" t="s">
        <v>1847</v>
      </c>
    </row>
    <row r="1573" spans="1:23" x14ac:dyDescent="0.15">
      <c r="A1573" s="2" t="s">
        <v>221</v>
      </c>
      <c r="B1573" s="2" t="s">
        <v>3930</v>
      </c>
      <c r="C1573" s="2" t="s">
        <v>27</v>
      </c>
      <c r="D1573" s="2" t="s">
        <v>777</v>
      </c>
      <c r="E1573" s="1" t="s">
        <v>1008</v>
      </c>
      <c r="F1573" s="2" t="s">
        <v>250</v>
      </c>
      <c r="G1573" s="2">
        <v>33.78</v>
      </c>
      <c r="H1573" s="2" t="str">
        <f t="shared" si="50"/>
        <v>W</v>
      </c>
      <c r="I1573" s="5">
        <v>13.4</v>
      </c>
      <c r="J1573" s="5">
        <v>385</v>
      </c>
      <c r="K1573" s="5">
        <v>6</v>
      </c>
      <c r="L1573" s="5">
        <v>7</v>
      </c>
      <c r="M1573" s="2" t="s">
        <v>571</v>
      </c>
      <c r="N1573" s="5">
        <f t="shared" si="51"/>
        <v>28.747512437810943</v>
      </c>
      <c r="O1573" s="5">
        <v>16.89</v>
      </c>
      <c r="P1573" s="5">
        <v>4.91</v>
      </c>
      <c r="Q1573" s="2" t="s">
        <v>18</v>
      </c>
      <c r="R1573" s="5">
        <v>39.6</v>
      </c>
      <c r="S1573" s="5">
        <v>10.3</v>
      </c>
      <c r="T1573" s="2">
        <v>2.6</v>
      </c>
      <c r="U1573" s="2" t="str">
        <f t="shared" si="52"/>
        <v>2-3</v>
      </c>
      <c r="V1573" s="5">
        <v>25.9</v>
      </c>
      <c r="W1573" s="6" t="s">
        <v>1847</v>
      </c>
    </row>
    <row r="1574" spans="1:23" x14ac:dyDescent="0.15">
      <c r="A1574" s="2" t="s">
        <v>221</v>
      </c>
      <c r="B1574" s="2" t="s">
        <v>3930</v>
      </c>
      <c r="C1574" s="2" t="s">
        <v>27</v>
      </c>
      <c r="D1574" s="2" t="s">
        <v>777</v>
      </c>
      <c r="E1574" s="1" t="s">
        <v>1008</v>
      </c>
      <c r="F1574" s="2" t="s">
        <v>256</v>
      </c>
      <c r="G1574" s="2">
        <v>33.5</v>
      </c>
      <c r="H1574" s="2" t="str">
        <f t="shared" si="50"/>
        <v>W</v>
      </c>
      <c r="I1574" s="5">
        <v>14.5</v>
      </c>
      <c r="J1574" s="5">
        <v>463</v>
      </c>
      <c r="K1574" s="5">
        <v>6</v>
      </c>
      <c r="L1574" s="5">
        <v>7.5</v>
      </c>
      <c r="M1574" s="2" t="s">
        <v>571</v>
      </c>
      <c r="N1574" s="5">
        <f t="shared" si="51"/>
        <v>28.781094527363184</v>
      </c>
      <c r="O1574" s="5">
        <v>16.88</v>
      </c>
      <c r="P1574" s="5">
        <v>4.91</v>
      </c>
      <c r="Q1574" s="2" t="s">
        <v>18</v>
      </c>
      <c r="R1574" s="5">
        <v>37.65</v>
      </c>
      <c r="S1574" s="5">
        <v>8.1</v>
      </c>
      <c r="T1574" s="2">
        <v>3</v>
      </c>
      <c r="U1574" s="2" t="str">
        <f t="shared" si="52"/>
        <v>2-3</v>
      </c>
      <c r="V1574" s="5">
        <f>S1574*T1574</f>
        <v>24.299999999999997</v>
      </c>
      <c r="W1574" s="6" t="s">
        <v>1847</v>
      </c>
    </row>
    <row r="1575" spans="1:23" x14ac:dyDescent="0.15">
      <c r="A1575" s="2" t="s">
        <v>221</v>
      </c>
      <c r="B1575" s="2" t="s">
        <v>3930</v>
      </c>
      <c r="C1575" s="2" t="s">
        <v>27</v>
      </c>
      <c r="D1575" s="2" t="s">
        <v>777</v>
      </c>
      <c r="E1575" s="1" t="s">
        <v>1008</v>
      </c>
      <c r="F1575" s="2" t="s">
        <v>255</v>
      </c>
      <c r="G1575" s="2">
        <v>33.92</v>
      </c>
      <c r="H1575" s="2" t="str">
        <f t="shared" si="50"/>
        <v>W</v>
      </c>
      <c r="I1575" s="5">
        <v>14.5</v>
      </c>
      <c r="J1575" s="5">
        <v>438</v>
      </c>
      <c r="K1575" s="5">
        <v>6</v>
      </c>
      <c r="L1575" s="5">
        <v>8.1199999999999992</v>
      </c>
      <c r="M1575" s="2" t="s">
        <v>571</v>
      </c>
      <c r="N1575" s="5">
        <f t="shared" si="51"/>
        <v>28.766169154228848</v>
      </c>
      <c r="O1575" s="5">
        <v>16.84</v>
      </c>
      <c r="P1575" s="5">
        <v>4.88</v>
      </c>
      <c r="Q1575" s="2" t="s">
        <v>18</v>
      </c>
      <c r="R1575" s="5">
        <v>39.71</v>
      </c>
      <c r="S1575" s="5">
        <v>9.1</v>
      </c>
      <c r="T1575" s="2">
        <v>3</v>
      </c>
      <c r="U1575" s="2" t="str">
        <f t="shared" si="52"/>
        <v>2-3</v>
      </c>
      <c r="V1575" s="5">
        <f>S1575*T1575</f>
        <v>27.299999999999997</v>
      </c>
      <c r="W1575" s="6" t="s">
        <v>1847</v>
      </c>
    </row>
    <row r="1576" spans="1:23" x14ac:dyDescent="0.15">
      <c r="A1576" s="2" t="s">
        <v>221</v>
      </c>
      <c r="B1576" s="2" t="s">
        <v>3930</v>
      </c>
      <c r="C1576" s="2" t="s">
        <v>27</v>
      </c>
      <c r="D1576" s="2" t="s">
        <v>777</v>
      </c>
      <c r="E1576" s="1" t="s">
        <v>1008</v>
      </c>
      <c r="F1576" s="2" t="s">
        <v>248</v>
      </c>
      <c r="G1576" s="2">
        <v>31.9</v>
      </c>
      <c r="H1576" s="2" t="str">
        <f t="shared" ref="H1576:H1640" si="53">IF(G1576="captive","C","W")</f>
        <v>W</v>
      </c>
      <c r="I1576" s="5">
        <v>13.44</v>
      </c>
      <c r="J1576" s="5">
        <f xml:space="preserve"> 0.000162*(I1576*10)^2.997</f>
        <v>387.54989440173455</v>
      </c>
      <c r="K1576" s="5">
        <v>5</v>
      </c>
      <c r="L1576" s="5">
        <v>6.4</v>
      </c>
      <c r="M1576" s="2" t="s">
        <v>571</v>
      </c>
      <c r="N1576" s="5"/>
      <c r="O1576" s="5">
        <v>16.5</v>
      </c>
      <c r="P1576" s="5"/>
      <c r="R1576" s="5"/>
      <c r="S1576" s="5"/>
      <c r="T1576" s="2" t="s">
        <v>372</v>
      </c>
      <c r="U1576" s="40" t="s">
        <v>395</v>
      </c>
      <c r="W1576" s="6" t="s">
        <v>3292</v>
      </c>
    </row>
    <row r="1577" spans="1:23" x14ac:dyDescent="0.15">
      <c r="A1577" s="2" t="s">
        <v>221</v>
      </c>
      <c r="B1577" s="2" t="s">
        <v>3930</v>
      </c>
      <c r="C1577" s="2" t="s">
        <v>27</v>
      </c>
      <c r="D1577" s="2" t="s">
        <v>777</v>
      </c>
      <c r="E1577" s="1" t="s">
        <v>1008</v>
      </c>
      <c r="F1577" s="2" t="s">
        <v>259</v>
      </c>
      <c r="G1577" s="2">
        <v>31.9</v>
      </c>
      <c r="H1577" s="2" t="str">
        <f t="shared" si="53"/>
        <v>W</v>
      </c>
      <c r="I1577" s="5">
        <v>13</v>
      </c>
      <c r="J1577" s="5">
        <v>340</v>
      </c>
      <c r="K1577" s="5"/>
      <c r="L1577" s="5">
        <v>6.7</v>
      </c>
      <c r="M1577" s="2" t="s">
        <v>571</v>
      </c>
      <c r="N1577" s="5"/>
      <c r="O1577" s="5">
        <v>16.850000000000001</v>
      </c>
      <c r="P1577" s="5">
        <v>5.03</v>
      </c>
      <c r="Q1577" s="2" t="s">
        <v>18</v>
      </c>
      <c r="R1577" s="5">
        <f>P1577*L1577</f>
        <v>33.701000000000001</v>
      </c>
      <c r="S1577" s="5">
        <f>(R1577/J1577)*100</f>
        <v>9.9120588235294118</v>
      </c>
      <c r="W1577" s="6" t="s">
        <v>2040</v>
      </c>
    </row>
    <row r="1578" spans="1:23" x14ac:dyDescent="0.15">
      <c r="A1578" s="2" t="s">
        <v>221</v>
      </c>
      <c r="B1578" s="2" t="s">
        <v>3930</v>
      </c>
      <c r="C1578" s="2" t="s">
        <v>27</v>
      </c>
      <c r="D1578" s="2" t="s">
        <v>778</v>
      </c>
      <c r="E1578" s="1"/>
      <c r="F1578" s="2" t="s">
        <v>69</v>
      </c>
      <c r="H1578" s="2" t="s">
        <v>3887</v>
      </c>
      <c r="I1578" s="5"/>
      <c r="J1578" s="5"/>
      <c r="K1578" s="7">
        <f>MEDIAN(3,4)</f>
        <v>3.5</v>
      </c>
      <c r="L1578" s="5"/>
      <c r="M1578" s="2" t="s">
        <v>571</v>
      </c>
      <c r="N1578" s="5"/>
      <c r="O1578" s="5"/>
      <c r="P1578" s="5"/>
      <c r="R1578" s="5"/>
      <c r="S1578" s="5"/>
      <c r="W1578" s="6" t="s">
        <v>3229</v>
      </c>
    </row>
    <row r="1579" spans="1:23" x14ac:dyDescent="0.15">
      <c r="A1579" s="2" t="s">
        <v>221</v>
      </c>
      <c r="B1579" s="2" t="s">
        <v>3930</v>
      </c>
      <c r="C1579" s="2" t="s">
        <v>27</v>
      </c>
      <c r="D1579" s="2" t="s">
        <v>778</v>
      </c>
      <c r="E1579" s="1"/>
      <c r="F1579" s="2" t="s">
        <v>374</v>
      </c>
      <c r="G1579" s="2" t="s">
        <v>374</v>
      </c>
      <c r="H1579" s="2" t="str">
        <f t="shared" si="53"/>
        <v>C</v>
      </c>
      <c r="I1579" s="5">
        <v>8.9</v>
      </c>
      <c r="J1579" s="5">
        <v>129</v>
      </c>
      <c r="K1579" s="5"/>
      <c r="L1579" s="7">
        <v>3</v>
      </c>
      <c r="M1579" s="2" t="s">
        <v>571</v>
      </c>
      <c r="N1579" s="5"/>
      <c r="O1579" s="5"/>
      <c r="P1579" s="5"/>
      <c r="R1579" s="5"/>
      <c r="S1579" s="5"/>
      <c r="W1579" s="6" t="s">
        <v>2930</v>
      </c>
    </row>
    <row r="1580" spans="1:23" x14ac:dyDescent="0.15">
      <c r="A1580" s="2" t="s">
        <v>221</v>
      </c>
      <c r="B1580" s="2" t="s">
        <v>3930</v>
      </c>
      <c r="C1580" s="2" t="s">
        <v>27</v>
      </c>
      <c r="D1580" s="2" t="s">
        <v>778</v>
      </c>
      <c r="E1580" s="1"/>
      <c r="F1580" s="2" t="s">
        <v>2290</v>
      </c>
      <c r="G1580" s="2">
        <v>29.7</v>
      </c>
      <c r="H1580" s="2" t="str">
        <f t="shared" si="53"/>
        <v>W</v>
      </c>
      <c r="I1580" s="5">
        <v>9.6560000000000006</v>
      </c>
      <c r="J1580" s="5">
        <v>199.67</v>
      </c>
      <c r="K1580" s="5">
        <v>8</v>
      </c>
      <c r="L1580" s="7">
        <v>3.5</v>
      </c>
      <c r="M1580" s="2" t="s">
        <v>571</v>
      </c>
      <c r="N1580" s="5">
        <v>26.9</v>
      </c>
      <c r="O1580" s="5">
        <v>16.12</v>
      </c>
      <c r="P1580" s="5">
        <v>4.33</v>
      </c>
      <c r="Q1580" s="2" t="s">
        <v>376</v>
      </c>
      <c r="R1580" s="5">
        <v>14.91</v>
      </c>
      <c r="S1580" s="5">
        <v>7.92</v>
      </c>
      <c r="T1580" s="2" t="s">
        <v>524</v>
      </c>
      <c r="U1580" s="40" t="s">
        <v>395</v>
      </c>
      <c r="W1580" s="6" t="s">
        <v>4108</v>
      </c>
    </row>
    <row r="1581" spans="1:23" x14ac:dyDescent="0.15">
      <c r="A1581" s="2" t="s">
        <v>221</v>
      </c>
      <c r="B1581" s="2" t="s">
        <v>3930</v>
      </c>
      <c r="C1581" s="2" t="s">
        <v>27</v>
      </c>
      <c r="D1581" s="2" t="s">
        <v>779</v>
      </c>
      <c r="E1581" s="1"/>
      <c r="F1581" s="2" t="s">
        <v>3364</v>
      </c>
      <c r="G1581" s="2">
        <v>30</v>
      </c>
      <c r="H1581" s="2" t="str">
        <f t="shared" si="53"/>
        <v>W</v>
      </c>
      <c r="I1581" s="5">
        <v>13.45</v>
      </c>
      <c r="J1581" s="5">
        <f xml:space="preserve"> 0.2144*I1581^2.889</f>
        <v>390.93401556047121</v>
      </c>
      <c r="K1581" s="7">
        <f>MEDIAN(6,10)</f>
        <v>8</v>
      </c>
      <c r="L1581" s="5">
        <v>4.7</v>
      </c>
      <c r="M1581" s="2" t="s">
        <v>571</v>
      </c>
      <c r="N1581" s="5">
        <v>31.6</v>
      </c>
      <c r="O1581" s="5">
        <v>17.899999999999999</v>
      </c>
      <c r="P1581" s="5">
        <v>6.31</v>
      </c>
      <c r="Q1581" s="2" t="s">
        <v>18</v>
      </c>
      <c r="R1581" s="5">
        <v>29.66</v>
      </c>
      <c r="S1581" s="5">
        <f>(R1581/J1581)*100</f>
        <v>7.5869581104313175</v>
      </c>
      <c r="T1581" s="2">
        <v>2</v>
      </c>
      <c r="U1581" s="2" t="str">
        <f>IF(T1581&lt;=1, "1",IF(AND(T1581&gt;1,T1581&lt;4), "2-3", "+4"))</f>
        <v>2-3</v>
      </c>
      <c r="V1581" s="5">
        <f>S1581*T1581</f>
        <v>15.173916220862635</v>
      </c>
      <c r="W1581" s="6" t="s">
        <v>1842</v>
      </c>
    </row>
    <row r="1582" spans="1:23" x14ac:dyDescent="0.15">
      <c r="A1582" s="2" t="s">
        <v>221</v>
      </c>
      <c r="B1582" s="2" t="s">
        <v>3930</v>
      </c>
      <c r="C1582" s="2" t="s">
        <v>27</v>
      </c>
      <c r="D1582" s="2" t="s">
        <v>539</v>
      </c>
      <c r="E1582" s="1" t="s">
        <v>4044</v>
      </c>
      <c r="F1582" s="2" t="s">
        <v>260</v>
      </c>
      <c r="G1582" s="2">
        <v>34.42</v>
      </c>
      <c r="H1582" s="2" t="str">
        <f t="shared" si="53"/>
        <v>W</v>
      </c>
      <c r="I1582" s="5">
        <v>9.8949999999999996</v>
      </c>
      <c r="J1582" s="5">
        <v>190.44</v>
      </c>
      <c r="K1582" s="5"/>
      <c r="L1582" s="7">
        <v>3.6320000000000001</v>
      </c>
      <c r="M1582" s="5" t="s">
        <v>571</v>
      </c>
      <c r="N1582" s="5">
        <v>27.46</v>
      </c>
      <c r="O1582" s="5">
        <v>15.91</v>
      </c>
      <c r="P1582" s="5">
        <v>4.3230000000000004</v>
      </c>
      <c r="Q1582" s="2" t="s">
        <v>18</v>
      </c>
      <c r="R1582" s="5">
        <v>15.714</v>
      </c>
      <c r="S1582" s="5">
        <v>8.31</v>
      </c>
      <c r="V1582" s="5"/>
      <c r="W1582" s="6" t="s">
        <v>1848</v>
      </c>
    </row>
    <row r="1583" spans="1:23" x14ac:dyDescent="0.15">
      <c r="A1583" s="2" t="s">
        <v>221</v>
      </c>
      <c r="B1583" s="2" t="s">
        <v>3930</v>
      </c>
      <c r="C1583" s="2" t="s">
        <v>27</v>
      </c>
      <c r="D1583" s="2" t="s">
        <v>539</v>
      </c>
      <c r="E1583" s="1" t="s">
        <v>1009</v>
      </c>
      <c r="F1583" s="2" t="s">
        <v>126</v>
      </c>
      <c r="G1583" s="2">
        <v>33</v>
      </c>
      <c r="H1583" s="2" t="str">
        <f t="shared" si="53"/>
        <v>W</v>
      </c>
      <c r="I1583" s="5">
        <v>9.1389999999999993</v>
      </c>
      <c r="J1583" s="5">
        <v>140</v>
      </c>
      <c r="K1583" s="5"/>
      <c r="L1583" s="5">
        <v>3.4</v>
      </c>
      <c r="M1583" s="2" t="s">
        <v>571</v>
      </c>
      <c r="N1583" s="5">
        <v>26.23</v>
      </c>
      <c r="O1583" s="5">
        <v>15.63</v>
      </c>
      <c r="P1583" s="5">
        <v>3.93</v>
      </c>
      <c r="Q1583" s="2" t="s">
        <v>18</v>
      </c>
      <c r="R1583" s="5">
        <v>13.42</v>
      </c>
      <c r="S1583" s="5">
        <f>0.093*100</f>
        <v>9.3000000000000007</v>
      </c>
      <c r="T1583" s="2">
        <v>1.2</v>
      </c>
      <c r="U1583" s="2" t="str">
        <f>IF(T1583&lt;=1, "1",IF(AND(T1583&gt;1,T1583&lt;4), "2-3", "+4"))</f>
        <v>2-3</v>
      </c>
      <c r="V1583" s="5">
        <v>11.5</v>
      </c>
      <c r="W1583" s="6" t="s">
        <v>1783</v>
      </c>
    </row>
    <row r="1584" spans="1:23" x14ac:dyDescent="0.15">
      <c r="A1584" s="2" t="s">
        <v>221</v>
      </c>
      <c r="B1584" s="2" t="s">
        <v>3930</v>
      </c>
      <c r="C1584" s="2" t="s">
        <v>27</v>
      </c>
      <c r="D1584" s="2" t="s">
        <v>539</v>
      </c>
      <c r="E1584" s="1" t="s">
        <v>1009</v>
      </c>
      <c r="F1584" s="2" t="s">
        <v>126</v>
      </c>
      <c r="G1584" s="2">
        <v>33</v>
      </c>
      <c r="H1584" s="2" t="str">
        <f t="shared" si="53"/>
        <v>W</v>
      </c>
      <c r="I1584" s="5"/>
      <c r="J1584" s="5"/>
      <c r="K1584" s="5"/>
      <c r="L1584" s="5">
        <v>3.17</v>
      </c>
      <c r="M1584" s="2" t="s">
        <v>571</v>
      </c>
      <c r="N1584" s="5"/>
      <c r="O1584" s="5"/>
      <c r="P1584" s="5"/>
      <c r="R1584" s="5"/>
      <c r="S1584" s="5"/>
      <c r="T1584" s="2">
        <v>1.2</v>
      </c>
      <c r="U1584" s="2" t="str">
        <f>IF(T1584&lt;=1, "1",IF(AND(T1584&gt;1,T1584&lt;4), "2-3", "+4"))</f>
        <v>2-3</v>
      </c>
      <c r="V1584" s="5"/>
      <c r="W1584" s="6" t="s">
        <v>2044</v>
      </c>
    </row>
    <row r="1585" spans="1:23" x14ac:dyDescent="0.15">
      <c r="A1585" s="2" t="s">
        <v>221</v>
      </c>
      <c r="B1585" s="2" t="s">
        <v>3930</v>
      </c>
      <c r="C1585" s="2" t="s">
        <v>27</v>
      </c>
      <c r="D1585" s="2" t="s">
        <v>539</v>
      </c>
      <c r="E1585" s="1" t="s">
        <v>1009</v>
      </c>
      <c r="F1585" s="2" t="s">
        <v>126</v>
      </c>
      <c r="G1585" s="2">
        <v>33</v>
      </c>
      <c r="H1585" s="2" t="str">
        <f t="shared" si="53"/>
        <v>W</v>
      </c>
      <c r="I1585" s="5">
        <v>8.8800000000000008</v>
      </c>
      <c r="J1585" s="5">
        <f xml:space="preserve"> 0.002032*88.8^2.4917</f>
        <v>145.47363486779631</v>
      </c>
      <c r="K1585" s="7">
        <f>MEDIAN(5, 8)</f>
        <v>6.5</v>
      </c>
      <c r="L1585" s="5">
        <v>3.03</v>
      </c>
      <c r="M1585" s="2" t="s">
        <v>571</v>
      </c>
      <c r="N1585" s="5"/>
      <c r="O1585" s="5"/>
      <c r="P1585" s="5"/>
      <c r="R1585" s="5"/>
      <c r="S1585" s="5"/>
      <c r="T1585" s="2" t="s">
        <v>122</v>
      </c>
      <c r="V1585" s="5"/>
      <c r="W1585" s="6" t="s">
        <v>1990</v>
      </c>
    </row>
    <row r="1586" spans="1:23" x14ac:dyDescent="0.15">
      <c r="A1586" s="2" t="s">
        <v>221</v>
      </c>
      <c r="B1586" s="2" t="s">
        <v>3930</v>
      </c>
      <c r="C1586" s="2" t="s">
        <v>27</v>
      </c>
      <c r="D1586" s="2" t="s">
        <v>539</v>
      </c>
      <c r="E1586" s="1" t="s">
        <v>1009</v>
      </c>
      <c r="F1586" s="2" t="s">
        <v>123</v>
      </c>
      <c r="G1586" s="2">
        <v>33.56</v>
      </c>
      <c r="H1586" s="2" t="str">
        <f t="shared" si="53"/>
        <v>W</v>
      </c>
      <c r="I1586" s="5">
        <v>8.9250000000000007</v>
      </c>
      <c r="J1586" s="5">
        <f xml:space="preserve"> 0.002032*89.25^2.4917</f>
        <v>147.31745831219476</v>
      </c>
      <c r="K1586" s="5"/>
      <c r="L1586" s="5">
        <v>3</v>
      </c>
      <c r="M1586" s="2" t="s">
        <v>571</v>
      </c>
      <c r="N1586" s="5"/>
      <c r="O1586" s="5"/>
      <c r="P1586" s="5"/>
      <c r="R1586" s="5"/>
      <c r="S1586" s="5"/>
      <c r="T1586" s="9">
        <f>MEDIAN(2,3)</f>
        <v>2.5</v>
      </c>
      <c r="U1586" s="2" t="str">
        <f>IF(T1586&lt;=1, "1",IF(AND(T1586&gt;1,T1586&lt;4), "2-3", "+4"))</f>
        <v>2-3</v>
      </c>
      <c r="V1586" s="5"/>
      <c r="W1586" s="6" t="s">
        <v>3421</v>
      </c>
    </row>
    <row r="1587" spans="1:23" x14ac:dyDescent="0.15">
      <c r="A1587" s="2" t="s">
        <v>221</v>
      </c>
      <c r="B1587" s="2" t="s">
        <v>3930</v>
      </c>
      <c r="C1587" s="2" t="s">
        <v>27</v>
      </c>
      <c r="D1587" s="2" t="s">
        <v>539</v>
      </c>
      <c r="E1587" s="1" t="s">
        <v>1009</v>
      </c>
      <c r="F1587" s="2" t="s">
        <v>126</v>
      </c>
      <c r="G1587" s="2">
        <v>33</v>
      </c>
      <c r="H1587" s="2" t="str">
        <f t="shared" si="53"/>
        <v>W</v>
      </c>
      <c r="I1587" s="5">
        <f>8.5/0.96004</f>
        <v>8.8537977584267313</v>
      </c>
      <c r="J1587" s="5">
        <f xml:space="preserve"> 0.002032*(I1587*10)^2.4917</f>
        <v>144.40642668637358</v>
      </c>
      <c r="K1587" s="7"/>
      <c r="L1587" s="5">
        <v>3</v>
      </c>
      <c r="M1587" s="2" t="s">
        <v>571</v>
      </c>
      <c r="N1587" s="5"/>
      <c r="O1587" s="5"/>
      <c r="P1587" s="5"/>
      <c r="R1587" s="5"/>
      <c r="S1587" s="5"/>
      <c r="V1587" s="5"/>
      <c r="W1587" s="6" t="s">
        <v>1983</v>
      </c>
    </row>
    <row r="1588" spans="1:23" x14ac:dyDescent="0.15">
      <c r="A1588" s="2" t="s">
        <v>221</v>
      </c>
      <c r="B1588" s="2" t="s">
        <v>3930</v>
      </c>
      <c r="C1588" s="2" t="s">
        <v>27</v>
      </c>
      <c r="D1588" s="2" t="s">
        <v>539</v>
      </c>
      <c r="E1588" s="1" t="s">
        <v>1009</v>
      </c>
      <c r="F1588" s="2" t="s">
        <v>905</v>
      </c>
      <c r="G1588" s="2">
        <v>41.16</v>
      </c>
      <c r="H1588" s="2" t="str">
        <f t="shared" si="53"/>
        <v>W</v>
      </c>
      <c r="I1588" s="5">
        <v>9.57</v>
      </c>
      <c r="J1588" s="5">
        <f xml:space="preserve"> 0.002032*(I1588*10)^2.4917</f>
        <v>175.29195270110773</v>
      </c>
      <c r="K1588" s="5"/>
      <c r="L1588" s="5"/>
      <c r="M1588" s="2" t="s">
        <v>571</v>
      </c>
      <c r="N1588" s="5"/>
      <c r="O1588" s="5"/>
      <c r="P1588" s="5"/>
      <c r="R1588" s="5"/>
      <c r="S1588" s="5"/>
      <c r="V1588" s="5"/>
      <c r="W1588" s="6" t="s">
        <v>2931</v>
      </c>
    </row>
    <row r="1589" spans="1:23" x14ac:dyDescent="0.15">
      <c r="A1589" s="2" t="s">
        <v>221</v>
      </c>
      <c r="B1589" s="2" t="s">
        <v>3930</v>
      </c>
      <c r="C1589" s="2" t="s">
        <v>27</v>
      </c>
      <c r="D1589" s="2" t="s">
        <v>539</v>
      </c>
      <c r="E1589" s="1" t="s">
        <v>4044</v>
      </c>
      <c r="F1589" s="2" t="s">
        <v>229</v>
      </c>
      <c r="G1589" s="2">
        <v>30.5</v>
      </c>
      <c r="H1589" s="2" t="str">
        <f t="shared" si="53"/>
        <v>W</v>
      </c>
      <c r="I1589" s="5">
        <v>10.94</v>
      </c>
      <c r="J1589" s="5">
        <v>244.48</v>
      </c>
      <c r="K1589" s="5"/>
      <c r="L1589" s="5">
        <v>3.67</v>
      </c>
      <c r="M1589" s="2" t="s">
        <v>571</v>
      </c>
      <c r="N1589" s="5">
        <v>27.21</v>
      </c>
      <c r="O1589" s="5">
        <v>16.84</v>
      </c>
      <c r="P1589" s="5">
        <f xml:space="preserve"> 0.162*N1589+ 0.485*O1589 - 7.843</f>
        <v>4.7324199999999994</v>
      </c>
      <c r="Q1589" s="2" t="s">
        <v>376</v>
      </c>
      <c r="R1589" s="5">
        <v>17.36</v>
      </c>
      <c r="S1589" s="5">
        <v>7.1</v>
      </c>
      <c r="T1589" s="9">
        <f>MEDIAN(2,3)</f>
        <v>2.5</v>
      </c>
      <c r="U1589" s="2" t="str">
        <f>IF(T1589&lt;=1, "1",IF(AND(T1589&gt;1,T1589&lt;4), "2-3", "+4"))</f>
        <v>2-3</v>
      </c>
      <c r="V1589" s="5">
        <f>S1589*T1589</f>
        <v>17.75</v>
      </c>
      <c r="W1589" s="6" t="s">
        <v>2932</v>
      </c>
    </row>
    <row r="1590" spans="1:23" x14ac:dyDescent="0.15">
      <c r="A1590" s="2" t="s">
        <v>221</v>
      </c>
      <c r="B1590" s="2" t="s">
        <v>3930</v>
      </c>
      <c r="C1590" s="2" t="s">
        <v>27</v>
      </c>
      <c r="D1590" s="2" t="s">
        <v>539</v>
      </c>
      <c r="E1590" s="1" t="s">
        <v>4044</v>
      </c>
      <c r="F1590" s="2" t="s">
        <v>261</v>
      </c>
      <c r="G1590" s="2">
        <v>34</v>
      </c>
      <c r="H1590" s="2" t="str">
        <f t="shared" si="53"/>
        <v>W</v>
      </c>
      <c r="I1590" s="5">
        <v>9.6340000000000003</v>
      </c>
      <c r="J1590" s="5">
        <f xml:space="preserve"> 0.002032*(I1590*10)^2.4917</f>
        <v>178.22749923918289</v>
      </c>
      <c r="K1590" s="7">
        <f>MEDIAN(6,8)</f>
        <v>7</v>
      </c>
      <c r="L1590" s="5">
        <v>3.13</v>
      </c>
      <c r="M1590" s="2" t="s">
        <v>571</v>
      </c>
      <c r="N1590" s="5">
        <v>26.61</v>
      </c>
      <c r="O1590" s="5">
        <v>15.44</v>
      </c>
      <c r="P1590" s="5">
        <f xml:space="preserve"> 0.162*N1590 + 0.485*O1590 - 7.843</f>
        <v>3.9562199999999983</v>
      </c>
      <c r="Q1590" s="2" t="s">
        <v>376</v>
      </c>
      <c r="R1590" s="5">
        <v>12.805</v>
      </c>
      <c r="S1590" s="5">
        <f>(R1590/J1593)*100</f>
        <v>7.1846376427105536</v>
      </c>
      <c r="T1590" s="2" t="s">
        <v>524</v>
      </c>
      <c r="U1590" s="40" t="s">
        <v>395</v>
      </c>
      <c r="V1590" s="5"/>
      <c r="W1590" s="6" t="s">
        <v>1849</v>
      </c>
    </row>
    <row r="1591" spans="1:23" x14ac:dyDescent="0.15">
      <c r="A1591" s="2" t="s">
        <v>221</v>
      </c>
      <c r="B1591" s="2" t="s">
        <v>3930</v>
      </c>
      <c r="C1591" s="2" t="s">
        <v>27</v>
      </c>
      <c r="D1591" s="2" t="s">
        <v>539</v>
      </c>
      <c r="E1591" s="1" t="s">
        <v>4044</v>
      </c>
      <c r="F1591" s="2" t="s">
        <v>2761</v>
      </c>
      <c r="G1591" s="2">
        <v>34</v>
      </c>
      <c r="H1591" s="2" t="str">
        <f t="shared" si="53"/>
        <v>W</v>
      </c>
      <c r="I1591" s="5"/>
      <c r="J1591" s="5"/>
      <c r="K1591" s="5"/>
      <c r="L1591" s="5">
        <v>5</v>
      </c>
      <c r="M1591" s="2" t="s">
        <v>571</v>
      </c>
      <c r="N1591" s="5">
        <v>27</v>
      </c>
      <c r="O1591" s="5">
        <v>16.3</v>
      </c>
      <c r="P1591" s="5">
        <f xml:space="preserve"> 0.162*N1591 + 0.485*O1591 - 7.843</f>
        <v>4.4365000000000006</v>
      </c>
      <c r="Q1591" s="2" t="s">
        <v>376</v>
      </c>
      <c r="R1591" s="5">
        <v>22.18</v>
      </c>
      <c r="S1591" s="5"/>
      <c r="W1591" s="6" t="s">
        <v>2907</v>
      </c>
    </row>
    <row r="1592" spans="1:23" x14ac:dyDescent="0.15">
      <c r="A1592" s="2" t="s">
        <v>221</v>
      </c>
      <c r="B1592" s="2" t="s">
        <v>3930</v>
      </c>
      <c r="C1592" s="2" t="s">
        <v>27</v>
      </c>
      <c r="D1592" s="2" t="s">
        <v>539</v>
      </c>
      <c r="E1592" s="1" t="s">
        <v>1009</v>
      </c>
      <c r="F1592" s="2" t="s">
        <v>107</v>
      </c>
      <c r="H1592" s="2" t="s">
        <v>3887</v>
      </c>
      <c r="I1592" s="5">
        <v>9.2799999999999994</v>
      </c>
      <c r="J1592" s="5">
        <v>164.7</v>
      </c>
      <c r="K1592" s="5"/>
      <c r="L1592" s="5">
        <v>3.5</v>
      </c>
      <c r="M1592" s="2" t="s">
        <v>571</v>
      </c>
      <c r="N1592" s="5">
        <v>26</v>
      </c>
      <c r="O1592" s="5">
        <v>16.100000000000001</v>
      </c>
      <c r="P1592" s="5">
        <v>4.2</v>
      </c>
      <c r="Q1592" s="2" t="s">
        <v>18</v>
      </c>
      <c r="R1592" s="5">
        <v>14.7</v>
      </c>
      <c r="S1592" s="5">
        <v>8.93</v>
      </c>
      <c r="T1592" s="2" t="s">
        <v>859</v>
      </c>
      <c r="W1592" s="6" t="s">
        <v>2221</v>
      </c>
    </row>
    <row r="1593" spans="1:23" x14ac:dyDescent="0.15">
      <c r="A1593" s="2" t="s">
        <v>221</v>
      </c>
      <c r="B1593" s="2" t="s">
        <v>3930</v>
      </c>
      <c r="C1593" s="2" t="s">
        <v>27</v>
      </c>
      <c r="D1593" s="2" t="s">
        <v>539</v>
      </c>
      <c r="E1593" s="1" t="s">
        <v>1009</v>
      </c>
      <c r="F1593" s="2" t="s">
        <v>2763</v>
      </c>
      <c r="G1593" s="2">
        <v>33</v>
      </c>
      <c r="H1593" s="2" t="str">
        <f t="shared" si="53"/>
        <v>W</v>
      </c>
      <c r="I1593" s="5">
        <f xml:space="preserve"> EXP(LN(J1593/0.002032)/2.4917)/10</f>
        <v>9.6340000000000021</v>
      </c>
      <c r="J1593" s="5">
        <f xml:space="preserve"> 0.002032*(I1590*10)^2.4917</f>
        <v>178.22749923918289</v>
      </c>
      <c r="K1593" s="5"/>
      <c r="L1593" s="5">
        <f>6/5</f>
        <v>1.2</v>
      </c>
      <c r="M1593" s="2" t="s">
        <v>571</v>
      </c>
      <c r="N1593" s="5">
        <v>25</v>
      </c>
      <c r="O1593" s="5">
        <v>15.1</v>
      </c>
      <c r="P1593" s="5">
        <v>3.5</v>
      </c>
      <c r="Q1593" s="2" t="s">
        <v>18</v>
      </c>
      <c r="R1593" s="5">
        <f>P1593*L1593</f>
        <v>4.2</v>
      </c>
      <c r="S1593" s="5">
        <f>(R1593/J1593)*100</f>
        <v>2.3565387035833134</v>
      </c>
      <c r="W1593" s="6" t="s">
        <v>2043</v>
      </c>
    </row>
    <row r="1594" spans="1:23" x14ac:dyDescent="0.15">
      <c r="A1594" s="2" t="s">
        <v>221</v>
      </c>
      <c r="B1594" s="2" t="s">
        <v>3930</v>
      </c>
      <c r="C1594" s="2" t="s">
        <v>27</v>
      </c>
      <c r="D1594" s="2" t="s">
        <v>539</v>
      </c>
      <c r="E1594" s="1" t="s">
        <v>1009</v>
      </c>
      <c r="F1594" s="2" t="s">
        <v>538</v>
      </c>
      <c r="H1594" s="2" t="s">
        <v>3887</v>
      </c>
      <c r="I1594" s="5">
        <v>9.5</v>
      </c>
      <c r="J1594" s="5">
        <v>172.1</v>
      </c>
      <c r="K1594" s="5"/>
      <c r="L1594" s="5">
        <v>3.06</v>
      </c>
      <c r="M1594" s="2" t="s">
        <v>571</v>
      </c>
      <c r="N1594" s="5">
        <v>27.05</v>
      </c>
      <c r="O1594" s="5">
        <v>16.12</v>
      </c>
      <c r="P1594" s="5">
        <f xml:space="preserve"> 0.162*N1594 + 0.485*O1594 - 7.843</f>
        <v>4.3573000000000004</v>
      </c>
      <c r="Q1594" s="2" t="s">
        <v>376</v>
      </c>
      <c r="R1594" s="5">
        <v>13.33</v>
      </c>
      <c r="S1594" s="5">
        <v>7.75</v>
      </c>
      <c r="T1594" s="2" t="s">
        <v>122</v>
      </c>
      <c r="W1594" s="6" t="s">
        <v>2220</v>
      </c>
    </row>
    <row r="1595" spans="1:23" x14ac:dyDescent="0.15">
      <c r="A1595" s="2" t="s">
        <v>221</v>
      </c>
      <c r="B1595" s="2" t="s">
        <v>3930</v>
      </c>
      <c r="C1595" s="2" t="s">
        <v>27</v>
      </c>
      <c r="D1595" s="2" t="s">
        <v>539</v>
      </c>
      <c r="E1595" s="1" t="s">
        <v>1009</v>
      </c>
      <c r="F1595" s="2" t="s">
        <v>540</v>
      </c>
      <c r="H1595" s="2" t="s">
        <v>3887</v>
      </c>
      <c r="I1595" s="5">
        <v>9.5</v>
      </c>
      <c r="J1595" s="5">
        <f xml:space="preserve"> 0.002032*(I1595*10)^2.4917</f>
        <v>172.11455998633767</v>
      </c>
      <c r="K1595" s="5"/>
      <c r="L1595" s="7">
        <v>3.23</v>
      </c>
      <c r="M1595" s="5" t="s">
        <v>571</v>
      </c>
      <c r="N1595" s="5">
        <v>24.75</v>
      </c>
      <c r="O1595" s="5">
        <v>16.11</v>
      </c>
      <c r="P1595" s="5">
        <v>3.98</v>
      </c>
      <c r="Q1595" s="2" t="s">
        <v>376</v>
      </c>
      <c r="R1595" s="5">
        <v>12.85</v>
      </c>
      <c r="S1595" s="5">
        <f>(R1595/J1595)*100</f>
        <v>7.4659575581635993</v>
      </c>
      <c r="W1595" s="6" t="s">
        <v>2220</v>
      </c>
    </row>
    <row r="1596" spans="1:23" x14ac:dyDescent="0.15">
      <c r="A1596" s="2" t="s">
        <v>221</v>
      </c>
      <c r="B1596" s="2" t="s">
        <v>3930</v>
      </c>
      <c r="C1596" s="2" t="s">
        <v>27</v>
      </c>
      <c r="D1596" s="2" t="s">
        <v>539</v>
      </c>
      <c r="E1596" s="1" t="s">
        <v>1009</v>
      </c>
      <c r="F1596" s="2" t="s">
        <v>107</v>
      </c>
      <c r="G1596" s="2">
        <v>37.42</v>
      </c>
      <c r="H1596" s="2" t="str">
        <f t="shared" si="53"/>
        <v>W</v>
      </c>
      <c r="I1596" s="5"/>
      <c r="J1596" s="5"/>
      <c r="K1596" s="5"/>
      <c r="L1596" s="5">
        <v>3.36</v>
      </c>
      <c r="M1596" s="2" t="s">
        <v>571</v>
      </c>
      <c r="N1596" s="5"/>
      <c r="O1596" s="5"/>
      <c r="P1596" s="5"/>
      <c r="R1596" s="5"/>
      <c r="S1596" s="5"/>
      <c r="T1596" s="2" t="s">
        <v>122</v>
      </c>
      <c r="W1596" s="6" t="s">
        <v>3019</v>
      </c>
    </row>
    <row r="1597" spans="1:23" x14ac:dyDescent="0.15">
      <c r="A1597" s="2" t="s">
        <v>221</v>
      </c>
      <c r="B1597" s="2" t="s">
        <v>3930</v>
      </c>
      <c r="C1597" s="2" t="s">
        <v>27</v>
      </c>
      <c r="D1597" s="2" t="s">
        <v>539</v>
      </c>
      <c r="E1597" s="1" t="s">
        <v>1009</v>
      </c>
      <c r="F1597" s="2" t="s">
        <v>2762</v>
      </c>
      <c r="G1597" s="2" t="s">
        <v>374</v>
      </c>
      <c r="H1597" s="2" t="str">
        <f t="shared" si="53"/>
        <v>C</v>
      </c>
      <c r="I1597" s="5">
        <v>11.3</v>
      </c>
      <c r="J1597" s="5">
        <v>265.2</v>
      </c>
      <c r="K1597" s="5"/>
      <c r="L1597" s="5">
        <v>2</v>
      </c>
      <c r="M1597" s="2" t="s">
        <v>571</v>
      </c>
      <c r="N1597" s="5">
        <v>29.25</v>
      </c>
      <c r="O1597" s="5">
        <v>16.75</v>
      </c>
      <c r="P1597" s="5">
        <f xml:space="preserve"> 0.162*N1597 + 0.485*O1597 - 7.843</f>
        <v>5.0192499999999995</v>
      </c>
      <c r="Q1597" s="2" t="s">
        <v>376</v>
      </c>
      <c r="R1597" s="5">
        <v>10.039999999999999</v>
      </c>
      <c r="S1597" s="5">
        <v>3.79</v>
      </c>
      <c r="W1597" s="6" t="s">
        <v>3020</v>
      </c>
    </row>
    <row r="1598" spans="1:23" x14ac:dyDescent="0.15">
      <c r="A1598" s="2" t="s">
        <v>221</v>
      </c>
      <c r="B1598" s="2" t="s">
        <v>3930</v>
      </c>
      <c r="C1598" s="2" t="s">
        <v>27</v>
      </c>
      <c r="D1598" s="2" t="s">
        <v>539</v>
      </c>
      <c r="E1598" s="1" t="s">
        <v>1009</v>
      </c>
      <c r="F1598" s="2" t="s">
        <v>126</v>
      </c>
      <c r="G1598" s="2">
        <v>33</v>
      </c>
      <c r="H1598" s="2" t="str">
        <f t="shared" si="53"/>
        <v>W</v>
      </c>
      <c r="I1598" s="5">
        <f xml:space="preserve"> 8.749/0.96004</f>
        <v>9.1131619515853508</v>
      </c>
      <c r="J1598" s="5">
        <f xml:space="preserve"> 0.002032*(I1598*10)^2.4917</f>
        <v>155.17836468765353</v>
      </c>
      <c r="K1598" s="5"/>
      <c r="L1598" s="5">
        <v>3.4</v>
      </c>
      <c r="M1598" s="2" t="s">
        <v>571</v>
      </c>
      <c r="N1598" s="5"/>
      <c r="O1598" s="5">
        <v>15.17</v>
      </c>
      <c r="P1598" s="5">
        <f xml:space="preserve"> (0.6189*O1598) - 5.6106</f>
        <v>3.7781129999999994</v>
      </c>
      <c r="Q1598" s="2" t="s">
        <v>376</v>
      </c>
      <c r="R1598" s="5">
        <f>P1598*L1598</f>
        <v>12.845584199999998</v>
      </c>
      <c r="S1598" s="5">
        <f>(R1598/J1598)*100</f>
        <v>8.2779479122981314</v>
      </c>
      <c r="W1598" s="6" t="s">
        <v>1812</v>
      </c>
    </row>
    <row r="1599" spans="1:23" x14ac:dyDescent="0.15">
      <c r="A1599" s="2" t="s">
        <v>221</v>
      </c>
      <c r="B1599" s="2" t="s">
        <v>3930</v>
      </c>
      <c r="C1599" s="2" t="s">
        <v>27</v>
      </c>
      <c r="D1599" s="2" t="s">
        <v>1384</v>
      </c>
      <c r="E1599" s="1"/>
      <c r="F1599" s="2" t="s">
        <v>379</v>
      </c>
      <c r="G1599" s="2">
        <v>20.7</v>
      </c>
      <c r="H1599" s="2" t="str">
        <f t="shared" si="53"/>
        <v>W</v>
      </c>
      <c r="I1599" s="5">
        <v>9.6</v>
      </c>
      <c r="J1599" s="5">
        <v>141.4</v>
      </c>
      <c r="K1599" s="5"/>
      <c r="L1599" s="5">
        <v>4</v>
      </c>
      <c r="M1599" s="2" t="s">
        <v>571</v>
      </c>
      <c r="N1599" s="5">
        <v>27.33</v>
      </c>
      <c r="O1599" s="5">
        <v>15.33</v>
      </c>
      <c r="P1599" s="5">
        <f xml:space="preserve"> 0.162*N1599 + 0.485*O1599 - 7.843</f>
        <v>4.0195100000000004</v>
      </c>
      <c r="Q1599" s="2" t="s">
        <v>376</v>
      </c>
      <c r="R1599" s="5">
        <v>16.079999999999998</v>
      </c>
      <c r="S1599" s="5">
        <v>11.37</v>
      </c>
      <c r="T1599" s="2" t="s">
        <v>372</v>
      </c>
      <c r="U1599" s="40" t="s">
        <v>395</v>
      </c>
      <c r="W1599" s="6" t="s">
        <v>3021</v>
      </c>
    </row>
    <row r="1600" spans="1:23" x14ac:dyDescent="0.15">
      <c r="A1600" s="2" t="s">
        <v>221</v>
      </c>
      <c r="B1600" s="2" t="s">
        <v>3931</v>
      </c>
      <c r="C1600" s="2" t="s">
        <v>1016</v>
      </c>
      <c r="D1600" s="2" t="s">
        <v>380</v>
      </c>
      <c r="E1600" s="1"/>
      <c r="F1600" s="2" t="s">
        <v>374</v>
      </c>
      <c r="G1600" s="2" t="s">
        <v>374</v>
      </c>
      <c r="H1600" s="2" t="str">
        <f t="shared" si="53"/>
        <v>C</v>
      </c>
      <c r="I1600" s="5"/>
      <c r="J1600" s="5"/>
      <c r="K1600" s="5"/>
      <c r="L1600" s="5">
        <v>3.75</v>
      </c>
      <c r="M1600" s="5" t="s">
        <v>571</v>
      </c>
      <c r="N1600" s="5"/>
      <c r="O1600" s="5"/>
      <c r="P1600" s="5"/>
      <c r="Q1600" s="2" t="s">
        <v>18</v>
      </c>
      <c r="R1600" s="5"/>
      <c r="S1600" s="5"/>
      <c r="T1600" s="2" t="s">
        <v>372</v>
      </c>
      <c r="U1600" s="40" t="s">
        <v>395</v>
      </c>
      <c r="W1600" s="6" t="s">
        <v>1850</v>
      </c>
    </row>
    <row r="1601" spans="1:23" x14ac:dyDescent="0.15">
      <c r="A1601" s="2" t="s">
        <v>221</v>
      </c>
      <c r="B1601" s="2" t="s">
        <v>3931</v>
      </c>
      <c r="C1601" s="2" t="s">
        <v>1016</v>
      </c>
      <c r="D1601" s="2" t="s">
        <v>380</v>
      </c>
      <c r="E1601" s="1"/>
      <c r="F1601" s="2" t="s">
        <v>374</v>
      </c>
      <c r="G1601" s="2" t="s">
        <v>374</v>
      </c>
      <c r="H1601" s="2" t="str">
        <f t="shared" si="53"/>
        <v>C</v>
      </c>
      <c r="I1601" s="5"/>
      <c r="J1601" s="5"/>
      <c r="K1601" s="5"/>
      <c r="L1601" s="5">
        <v>3.75</v>
      </c>
      <c r="M1601" s="5" t="s">
        <v>571</v>
      </c>
      <c r="N1601" s="5">
        <v>35</v>
      </c>
      <c r="O1601" s="5">
        <v>19</v>
      </c>
      <c r="P1601" s="5">
        <v>8</v>
      </c>
      <c r="Q1601" s="2" t="s">
        <v>18</v>
      </c>
      <c r="R1601" s="5">
        <v>30</v>
      </c>
      <c r="S1601" s="5"/>
      <c r="T1601" s="2">
        <f>MEDIAN(3,4)</f>
        <v>3.5</v>
      </c>
      <c r="U1601" s="2" t="str">
        <f>IF(T1601&lt;=1, "1",IF(AND(T1601&gt;1,T1601&lt;4), "2-3", "+4"))</f>
        <v>2-3</v>
      </c>
      <c r="W1601" s="6" t="s">
        <v>3022</v>
      </c>
    </row>
    <row r="1602" spans="1:23" x14ac:dyDescent="0.15">
      <c r="A1602" s="2" t="s">
        <v>221</v>
      </c>
      <c r="B1602" s="2" t="s">
        <v>3931</v>
      </c>
      <c r="C1602" s="2" t="s">
        <v>1016</v>
      </c>
      <c r="D1602" s="2" t="s">
        <v>380</v>
      </c>
      <c r="E1602" s="1"/>
      <c r="F1602" s="2" t="s">
        <v>379</v>
      </c>
      <c r="G1602" s="2">
        <v>15.93</v>
      </c>
      <c r="H1602" s="2" t="str">
        <f t="shared" si="53"/>
        <v>W</v>
      </c>
      <c r="I1602" s="5">
        <v>14.7</v>
      </c>
      <c r="J1602" s="5">
        <f xml:space="preserve"> 0.3276*I1602^2.738</f>
        <v>514.58693505418239</v>
      </c>
      <c r="K1602" s="5"/>
      <c r="L1602" s="5"/>
      <c r="M1602" s="2" t="s">
        <v>571</v>
      </c>
      <c r="N1602" s="5"/>
      <c r="O1602" s="5"/>
      <c r="P1602" s="5"/>
      <c r="R1602" s="5"/>
      <c r="S1602" s="5"/>
      <c r="W1602" s="6" t="s">
        <v>3023</v>
      </c>
    </row>
    <row r="1603" spans="1:23" x14ac:dyDescent="0.15">
      <c r="A1603" s="2" t="s">
        <v>221</v>
      </c>
      <c r="B1603" s="2" t="s">
        <v>3931</v>
      </c>
      <c r="C1603" s="2" t="s">
        <v>1016</v>
      </c>
      <c r="D1603" s="2" t="s">
        <v>380</v>
      </c>
      <c r="E1603" s="1"/>
      <c r="F1603" s="2" t="s">
        <v>882</v>
      </c>
      <c r="G1603" s="2" t="s">
        <v>374</v>
      </c>
      <c r="H1603" s="2" t="str">
        <f t="shared" si="53"/>
        <v>C</v>
      </c>
      <c r="I1603" s="5">
        <v>18</v>
      </c>
      <c r="J1603" s="5">
        <v>900</v>
      </c>
      <c r="K1603" s="5">
        <v>6</v>
      </c>
      <c r="L1603" s="5">
        <v>5.36</v>
      </c>
      <c r="M1603" s="2" t="s">
        <v>571</v>
      </c>
      <c r="N1603" s="5">
        <v>37.15</v>
      </c>
      <c r="O1603" s="5">
        <v>21.39</v>
      </c>
      <c r="P1603" s="5">
        <v>10.57</v>
      </c>
      <c r="Q1603" s="2" t="s">
        <v>18</v>
      </c>
      <c r="R1603" s="5">
        <v>56.66</v>
      </c>
      <c r="S1603" s="5">
        <v>6.37</v>
      </c>
      <c r="T1603" s="2">
        <v>3.61</v>
      </c>
      <c r="U1603" s="2" t="str">
        <f>IF(T1603&lt;=1, "1",IF(AND(T1603&gt;1,T1603&lt;4), "2-3", "+4"))</f>
        <v>2-3</v>
      </c>
      <c r="V1603" s="5">
        <v>22.98</v>
      </c>
      <c r="W1603" s="6" t="s">
        <v>3024</v>
      </c>
    </row>
    <row r="1604" spans="1:23" x14ac:dyDescent="0.15">
      <c r="A1604" s="2" t="s">
        <v>221</v>
      </c>
      <c r="B1604" s="2" t="s">
        <v>3931</v>
      </c>
      <c r="C1604" s="2" t="s">
        <v>1016</v>
      </c>
      <c r="D1604" s="2" t="s">
        <v>380</v>
      </c>
      <c r="E1604" s="1"/>
      <c r="F1604" s="2" t="s">
        <v>374</v>
      </c>
      <c r="G1604" s="2" t="s">
        <v>374</v>
      </c>
      <c r="H1604" s="2" t="str">
        <f t="shared" si="53"/>
        <v>C</v>
      </c>
      <c r="I1604" s="5">
        <f xml:space="preserve"> EXP(LN(J1604/0.3276)/2.738)</f>
        <v>18.029731872794788</v>
      </c>
      <c r="J1604" s="5">
        <v>900</v>
      </c>
      <c r="K1604" s="5">
        <v>6</v>
      </c>
      <c r="L1604" s="5">
        <v>5.15</v>
      </c>
      <c r="M1604" s="2" t="s">
        <v>571</v>
      </c>
      <c r="N1604" s="5">
        <v>38.31</v>
      </c>
      <c r="O1604" s="5">
        <v>21.5</v>
      </c>
      <c r="P1604" s="5">
        <v>10.86</v>
      </c>
      <c r="Q1604" s="2" t="s">
        <v>18</v>
      </c>
      <c r="R1604" s="5">
        <v>55.9</v>
      </c>
      <c r="S1604" s="5">
        <v>6.21</v>
      </c>
      <c r="T1604" s="2">
        <v>3.75</v>
      </c>
      <c r="U1604" s="2" t="str">
        <f>IF(T1604&lt;=1, "1",IF(AND(T1604&gt;1,T1604&lt;4), "2-3", "+4"))</f>
        <v>2-3</v>
      </c>
      <c r="V1604" s="5">
        <f>S1604*T1604</f>
        <v>23.287500000000001</v>
      </c>
      <c r="W1604" s="6" t="s">
        <v>3025</v>
      </c>
    </row>
    <row r="1605" spans="1:23" x14ac:dyDescent="0.15">
      <c r="A1605" s="2" t="s">
        <v>221</v>
      </c>
      <c r="B1605" s="2" t="s">
        <v>3931</v>
      </c>
      <c r="C1605" s="2" t="s">
        <v>1016</v>
      </c>
      <c r="D1605" s="2" t="s">
        <v>380</v>
      </c>
      <c r="E1605" s="1"/>
      <c r="F1605" s="2">
        <v>15.93</v>
      </c>
      <c r="G1605" s="2" t="s">
        <v>4109</v>
      </c>
      <c r="H1605" s="2" t="str">
        <f t="shared" si="53"/>
        <v>W</v>
      </c>
      <c r="I1605" s="5">
        <v>13.79</v>
      </c>
      <c r="J1605" s="5">
        <v>563</v>
      </c>
      <c r="K1605" s="5"/>
      <c r="L1605" s="5">
        <v>8</v>
      </c>
      <c r="M1605" s="2" t="s">
        <v>571</v>
      </c>
      <c r="N1605" s="5"/>
      <c r="O1605" s="5"/>
      <c r="P1605" s="5"/>
      <c r="R1605" s="5"/>
      <c r="S1605" s="5"/>
      <c r="V1605" s="5"/>
      <c r="W1605" s="6" t="s">
        <v>235</v>
      </c>
    </row>
    <row r="1606" spans="1:23" x14ac:dyDescent="0.15">
      <c r="A1606" s="2" t="s">
        <v>221</v>
      </c>
      <c r="B1606" s="2" t="s">
        <v>3931</v>
      </c>
      <c r="C1606" s="2" t="s">
        <v>1016</v>
      </c>
      <c r="D1606" s="2" t="s">
        <v>380</v>
      </c>
      <c r="E1606" s="1"/>
      <c r="F1606" s="2" t="s">
        <v>374</v>
      </c>
      <c r="G1606" s="2" t="s">
        <v>374</v>
      </c>
      <c r="H1606" s="2" t="str">
        <f t="shared" si="53"/>
        <v>C</v>
      </c>
      <c r="I1606" s="5">
        <v>15.5</v>
      </c>
      <c r="J1606" s="5">
        <v>650</v>
      </c>
      <c r="K1606" s="5"/>
      <c r="L1606" s="7">
        <f>MEDIAN(4,5)</f>
        <v>4.5</v>
      </c>
      <c r="M1606" s="2" t="s">
        <v>571</v>
      </c>
      <c r="N1606" s="5"/>
      <c r="O1606" s="5"/>
      <c r="P1606" s="5"/>
      <c r="R1606" s="5"/>
      <c r="S1606" s="5"/>
      <c r="T1606" s="9">
        <f>MEDIAN(2,3)</f>
        <v>2.5</v>
      </c>
      <c r="U1606" s="2" t="str">
        <f>IF(T1606&lt;=1, "1",IF(AND(T1606&gt;1,T1606&lt;4), "2-3", "+4"))</f>
        <v>2-3</v>
      </c>
      <c r="W1606" s="6" t="s">
        <v>3026</v>
      </c>
    </row>
    <row r="1607" spans="1:23" x14ac:dyDescent="0.15">
      <c r="A1607" s="2" t="s">
        <v>221</v>
      </c>
      <c r="B1607" s="2" t="s">
        <v>3931</v>
      </c>
      <c r="C1607" s="2" t="s">
        <v>1016</v>
      </c>
      <c r="D1607" s="2" t="s">
        <v>380</v>
      </c>
      <c r="E1607" s="1"/>
      <c r="F1607" s="2" t="s">
        <v>374</v>
      </c>
      <c r="G1607" s="2" t="s">
        <v>374</v>
      </c>
      <c r="H1607" s="2" t="str">
        <f t="shared" si="53"/>
        <v>C</v>
      </c>
      <c r="I1607" s="5"/>
      <c r="J1607" s="5"/>
      <c r="K1607" s="5"/>
      <c r="L1607" s="5">
        <v>8.7100000000000009</v>
      </c>
      <c r="M1607" s="2" t="s">
        <v>571</v>
      </c>
      <c r="N1607" s="5"/>
      <c r="O1607" s="5"/>
      <c r="P1607" s="5"/>
      <c r="R1607" s="5"/>
      <c r="S1607" s="5"/>
      <c r="T1607" s="2">
        <v>3</v>
      </c>
      <c r="U1607" s="2" t="str">
        <f>IF(T1607&lt;=1, "1",IF(AND(T1607&gt;1,T1607&lt;4), "2-3", "+4"))</f>
        <v>2-3</v>
      </c>
      <c r="W1607" s="6" t="s">
        <v>3027</v>
      </c>
    </row>
    <row r="1608" spans="1:23" x14ac:dyDescent="0.15">
      <c r="A1608" s="2" t="s">
        <v>221</v>
      </c>
      <c r="B1608" s="2" t="s">
        <v>3931</v>
      </c>
      <c r="C1608" s="2" t="s">
        <v>1016</v>
      </c>
      <c r="D1608" s="2" t="s">
        <v>380</v>
      </c>
      <c r="E1608" s="1"/>
      <c r="F1608" s="2" t="s">
        <v>374</v>
      </c>
      <c r="G1608" s="2" t="s">
        <v>374</v>
      </c>
      <c r="H1608" s="2" t="str">
        <f t="shared" si="53"/>
        <v>C</v>
      </c>
      <c r="I1608" s="5">
        <v>18.899999999999999</v>
      </c>
      <c r="J1608" s="5">
        <v>1024</v>
      </c>
      <c r="K1608" s="5"/>
      <c r="L1608" s="5">
        <v>6</v>
      </c>
      <c r="M1608" s="2" t="s">
        <v>571</v>
      </c>
      <c r="N1608" s="5"/>
      <c r="O1608" s="5"/>
      <c r="P1608" s="5"/>
      <c r="R1608" s="5"/>
      <c r="S1608" s="5"/>
      <c r="T1608" s="2" t="s">
        <v>372</v>
      </c>
      <c r="U1608" s="40" t="s">
        <v>395</v>
      </c>
      <c r="W1608" s="6" t="s">
        <v>3036</v>
      </c>
    </row>
    <row r="1609" spans="1:23" x14ac:dyDescent="0.15">
      <c r="A1609" s="2" t="s">
        <v>221</v>
      </c>
      <c r="B1609" s="2" t="s">
        <v>3931</v>
      </c>
      <c r="C1609" s="2" t="s">
        <v>1016</v>
      </c>
      <c r="D1609" s="2" t="s">
        <v>380</v>
      </c>
      <c r="E1609" s="1"/>
      <c r="F1609" s="2" t="s">
        <v>374</v>
      </c>
      <c r="G1609" s="2" t="s">
        <v>374</v>
      </c>
      <c r="H1609" s="2" t="str">
        <f t="shared" si="53"/>
        <v>C</v>
      </c>
      <c r="I1609" s="5">
        <v>17</v>
      </c>
      <c r="J1609" s="5">
        <v>746</v>
      </c>
      <c r="K1609" s="5"/>
      <c r="L1609" s="5">
        <v>6</v>
      </c>
      <c r="M1609" s="2" t="s">
        <v>571</v>
      </c>
      <c r="N1609" s="5"/>
      <c r="O1609" s="5"/>
      <c r="P1609" s="5"/>
      <c r="R1609" s="5"/>
      <c r="S1609" s="5"/>
      <c r="W1609" s="6" t="s">
        <v>3028</v>
      </c>
    </row>
    <row r="1610" spans="1:23" x14ac:dyDescent="0.15">
      <c r="A1610" s="2" t="s">
        <v>221</v>
      </c>
      <c r="B1610" s="2" t="s">
        <v>3931</v>
      </c>
      <c r="C1610" s="2" t="s">
        <v>1016</v>
      </c>
      <c r="D1610" s="2" t="s">
        <v>380</v>
      </c>
      <c r="E1610" s="1"/>
      <c r="F1610" s="2" t="s">
        <v>374</v>
      </c>
      <c r="G1610" s="2" t="s">
        <v>374</v>
      </c>
      <c r="H1610" s="2" t="str">
        <f t="shared" si="53"/>
        <v>C</v>
      </c>
      <c r="I1610" s="5">
        <v>20</v>
      </c>
      <c r="J1610" s="5">
        <v>1240</v>
      </c>
      <c r="K1610" s="5"/>
      <c r="L1610" s="5">
        <v>8.5</v>
      </c>
      <c r="M1610" s="2" t="s">
        <v>571</v>
      </c>
      <c r="N1610" s="5">
        <v>40.17</v>
      </c>
      <c r="O1610" s="5">
        <v>19.329999999999998</v>
      </c>
      <c r="P1610" s="5">
        <f xml:space="preserve"> 0.284*N1610 + 0.957*O1610 - 20.408</f>
        <v>9.4990899999999954</v>
      </c>
      <c r="Q1610" s="2" t="s">
        <v>376</v>
      </c>
      <c r="R1610" s="5">
        <v>59.5</v>
      </c>
      <c r="S1610" s="5">
        <v>4.8</v>
      </c>
      <c r="T1610" s="2" t="s">
        <v>524</v>
      </c>
      <c r="U1610" s="40" t="s">
        <v>395</v>
      </c>
      <c r="W1610" s="6" t="s">
        <v>3029</v>
      </c>
    </row>
    <row r="1611" spans="1:23" x14ac:dyDescent="0.15">
      <c r="A1611" s="2" t="s">
        <v>221</v>
      </c>
      <c r="B1611" s="2" t="s">
        <v>3931</v>
      </c>
      <c r="C1611" s="2" t="s">
        <v>1016</v>
      </c>
      <c r="D1611" s="2" t="s">
        <v>380</v>
      </c>
      <c r="E1611" s="1"/>
      <c r="F1611" s="2" t="s">
        <v>2764</v>
      </c>
      <c r="G1611" s="2" t="s">
        <v>374</v>
      </c>
      <c r="H1611" s="2" t="str">
        <f t="shared" si="53"/>
        <v>C</v>
      </c>
      <c r="I1611" s="5">
        <v>27</v>
      </c>
      <c r="J1611" s="5">
        <v>2719</v>
      </c>
      <c r="K1611" s="5"/>
      <c r="L1611" s="5"/>
      <c r="M1611" s="2" t="s">
        <v>571</v>
      </c>
      <c r="N1611" s="5">
        <v>39.5</v>
      </c>
      <c r="O1611" s="5">
        <v>20.25</v>
      </c>
      <c r="P1611" s="5">
        <v>10</v>
      </c>
      <c r="Q1611" s="2" t="s">
        <v>18</v>
      </c>
      <c r="R1611" s="5"/>
      <c r="S1611" s="5"/>
      <c r="W1611" s="6" t="s">
        <v>3030</v>
      </c>
    </row>
    <row r="1612" spans="1:23" x14ac:dyDescent="0.15">
      <c r="A1612" s="2" t="s">
        <v>221</v>
      </c>
      <c r="B1612" s="2" t="s">
        <v>3931</v>
      </c>
      <c r="C1612" s="2" t="s">
        <v>1016</v>
      </c>
      <c r="D1612" s="2" t="s">
        <v>380</v>
      </c>
      <c r="E1612" s="1"/>
      <c r="F1612" s="2" t="s">
        <v>374</v>
      </c>
      <c r="G1612" s="2" t="s">
        <v>374</v>
      </c>
      <c r="H1612" s="2" t="str">
        <f t="shared" si="53"/>
        <v>C</v>
      </c>
      <c r="I1612" s="5"/>
      <c r="J1612" s="5"/>
      <c r="K1612" s="5"/>
      <c r="L1612" s="7">
        <f>MEDIAN(3,10)</f>
        <v>6.5</v>
      </c>
      <c r="M1612" s="2" t="s">
        <v>571</v>
      </c>
      <c r="N1612" s="5">
        <v>35</v>
      </c>
      <c r="O1612" s="5">
        <v>22</v>
      </c>
      <c r="P1612" s="5">
        <f xml:space="preserve"> 0.284*N1612 + 0.957*O1612 - 20.408</f>
        <v>10.585999999999999</v>
      </c>
      <c r="Q1612" s="2" t="s">
        <v>376</v>
      </c>
      <c r="R1612" s="5">
        <f>P1612*L1612</f>
        <v>68.808999999999997</v>
      </c>
      <c r="S1612" s="5"/>
      <c r="T1612" s="2" t="s">
        <v>382</v>
      </c>
      <c r="U1612" s="40" t="s">
        <v>395</v>
      </c>
      <c r="W1612" s="6" t="s">
        <v>3031</v>
      </c>
    </row>
    <row r="1613" spans="1:23" x14ac:dyDescent="0.15">
      <c r="A1613" s="2" t="s">
        <v>221</v>
      </c>
      <c r="B1613" s="2" t="s">
        <v>3931</v>
      </c>
      <c r="C1613" s="2" t="s">
        <v>1016</v>
      </c>
      <c r="D1613" s="2" t="s">
        <v>626</v>
      </c>
      <c r="E1613" s="1"/>
      <c r="F1613" s="2" t="s">
        <v>374</v>
      </c>
      <c r="G1613" s="2" t="s">
        <v>374</v>
      </c>
      <c r="H1613" s="2" t="str">
        <f t="shared" si="53"/>
        <v>C</v>
      </c>
      <c r="I1613" s="5">
        <v>31.75</v>
      </c>
      <c r="J1613" s="5">
        <v>4325</v>
      </c>
      <c r="K1613" s="5">
        <f>MEDIAN(5,6)</f>
        <v>5.5</v>
      </c>
      <c r="L1613" s="5">
        <v>13</v>
      </c>
      <c r="M1613" s="2" t="s">
        <v>571</v>
      </c>
      <c r="N1613" s="5">
        <v>42</v>
      </c>
      <c r="O1613" s="5">
        <f>(P1613+30.98-(0.413*N1613))/1.192</f>
        <v>24.86073825503356</v>
      </c>
      <c r="P1613" s="5">
        <v>16</v>
      </c>
      <c r="Q1613" s="2" t="s">
        <v>18</v>
      </c>
      <c r="R1613" s="5">
        <v>208</v>
      </c>
      <c r="S1613" s="5">
        <v>4.8099999999999996</v>
      </c>
      <c r="T1613" s="2" t="s">
        <v>372</v>
      </c>
      <c r="U1613" s="40" t="s">
        <v>395</v>
      </c>
      <c r="W1613" s="6" t="s">
        <v>3032</v>
      </c>
    </row>
    <row r="1614" spans="1:23" x14ac:dyDescent="0.15">
      <c r="A1614" s="2" t="s">
        <v>221</v>
      </c>
      <c r="B1614" s="2" t="s">
        <v>3931</v>
      </c>
      <c r="C1614" s="2" t="s">
        <v>1016</v>
      </c>
      <c r="D1614" s="2" t="s">
        <v>626</v>
      </c>
      <c r="E1614" s="1"/>
      <c r="F1614" s="2" t="s">
        <v>374</v>
      </c>
      <c r="G1614" s="2" t="s">
        <v>374</v>
      </c>
      <c r="H1614" s="2" t="str">
        <f t="shared" si="53"/>
        <v>C</v>
      </c>
      <c r="I1614" s="5">
        <v>28.5</v>
      </c>
      <c r="J1614" s="5">
        <v>4200</v>
      </c>
      <c r="K1614" s="5">
        <v>8</v>
      </c>
      <c r="L1614" s="5">
        <v>9.15</v>
      </c>
      <c r="M1614" s="2" t="s">
        <v>571</v>
      </c>
      <c r="N1614" s="5">
        <v>43.16</v>
      </c>
      <c r="O1614" s="5">
        <v>24.85</v>
      </c>
      <c r="P1614" s="5">
        <v>16.239999999999998</v>
      </c>
      <c r="Q1614" s="2" t="s">
        <v>18</v>
      </c>
      <c r="R1614" s="5">
        <v>148.6</v>
      </c>
      <c r="S1614" s="5">
        <v>3.54</v>
      </c>
      <c r="T1614" s="2">
        <v>2.62</v>
      </c>
      <c r="U1614" s="2" t="str">
        <f>IF(T1614&lt;=1, "1",IF(AND(T1614&gt;1,T1614&lt;4), "2-3", "+4"))</f>
        <v>2-3</v>
      </c>
      <c r="V1614" s="5">
        <f>S1614*T1614</f>
        <v>9.2748000000000008</v>
      </c>
      <c r="W1614" s="6" t="s">
        <v>3025</v>
      </c>
    </row>
    <row r="1615" spans="1:23" x14ac:dyDescent="0.15">
      <c r="A1615" s="2" t="s">
        <v>221</v>
      </c>
      <c r="B1615" s="2" t="s">
        <v>3931</v>
      </c>
      <c r="C1615" s="2" t="s">
        <v>1016</v>
      </c>
      <c r="D1615" s="2" t="s">
        <v>626</v>
      </c>
      <c r="E1615" s="1"/>
      <c r="F1615" s="2" t="s">
        <v>502</v>
      </c>
      <c r="G1615" s="2">
        <v>17.190000000000001</v>
      </c>
      <c r="H1615" s="2" t="str">
        <f t="shared" si="53"/>
        <v>W</v>
      </c>
      <c r="I1615" s="5">
        <v>23.31</v>
      </c>
      <c r="J1615" s="5">
        <v>1500</v>
      </c>
      <c r="K1615" s="5"/>
      <c r="L1615" s="5">
        <v>7</v>
      </c>
      <c r="M1615" s="2" t="s">
        <v>571</v>
      </c>
      <c r="N1615" s="5">
        <v>38.36</v>
      </c>
      <c r="O1615" s="5">
        <v>23.11</v>
      </c>
      <c r="P1615" s="5">
        <v>12.34</v>
      </c>
      <c r="Q1615" s="2" t="s">
        <v>18</v>
      </c>
      <c r="R1615" s="5">
        <v>86.38</v>
      </c>
      <c r="S1615" s="5">
        <v>5.76</v>
      </c>
      <c r="T1615" s="9">
        <f>MEDIAN(3,4)</f>
        <v>3.5</v>
      </c>
      <c r="U1615" s="2" t="str">
        <f>IF(T1615&lt;=1, "1",IF(AND(T1615&gt;1,T1615&lt;4), "2-3", "+4"))</f>
        <v>2-3</v>
      </c>
      <c r="V1615" s="5">
        <f>S1615*T1615</f>
        <v>20.16</v>
      </c>
      <c r="W1615" s="6" t="s">
        <v>909</v>
      </c>
    </row>
    <row r="1616" spans="1:23" x14ac:dyDescent="0.15">
      <c r="A1616" s="2" t="s">
        <v>221</v>
      </c>
      <c r="B1616" s="2" t="s">
        <v>3931</v>
      </c>
      <c r="C1616" s="2" t="s">
        <v>1016</v>
      </c>
      <c r="D1616" s="2" t="s">
        <v>626</v>
      </c>
      <c r="E1616" s="1"/>
      <c r="F1616" s="2" t="s">
        <v>606</v>
      </c>
      <c r="G1616" s="2">
        <v>16.45</v>
      </c>
      <c r="H1616" s="2" t="str">
        <f t="shared" si="53"/>
        <v>W</v>
      </c>
      <c r="I1616" s="5">
        <v>27.9</v>
      </c>
      <c r="J1616" s="5">
        <v>2786</v>
      </c>
      <c r="K1616" s="5"/>
      <c r="L1616" s="5">
        <v>8.1</v>
      </c>
      <c r="M1616" s="2" t="s">
        <v>571</v>
      </c>
      <c r="N1616" s="5">
        <v>40.299999999999997</v>
      </c>
      <c r="O1616" s="5">
        <v>23</v>
      </c>
      <c r="P1616" s="5">
        <v>13</v>
      </c>
      <c r="Q1616" s="2" t="s">
        <v>18</v>
      </c>
      <c r="R1616" s="5">
        <v>105</v>
      </c>
      <c r="S1616" s="5">
        <v>4.3</v>
      </c>
      <c r="T1616" s="5">
        <v>3.7</v>
      </c>
      <c r="U1616" s="2" t="str">
        <f>IF(T1616&lt;=1, "1",IF(AND(T1616&gt;1,T1616&lt;4), "2-3", "+4"))</f>
        <v>2-3</v>
      </c>
      <c r="V1616" s="5">
        <f>S1616*T1616</f>
        <v>15.91</v>
      </c>
      <c r="W1616" s="6" t="s">
        <v>2213</v>
      </c>
    </row>
    <row r="1617" spans="1:23" x14ac:dyDescent="0.15">
      <c r="A1617" s="2" t="s">
        <v>221</v>
      </c>
      <c r="B1617" s="2" t="s">
        <v>3931</v>
      </c>
      <c r="C1617" s="2" t="s">
        <v>1016</v>
      </c>
      <c r="D1617" s="2" t="s">
        <v>626</v>
      </c>
      <c r="E1617" s="1"/>
      <c r="F1617" s="2" t="s">
        <v>262</v>
      </c>
      <c r="G1617" s="2">
        <v>19.100000000000001</v>
      </c>
      <c r="H1617" s="2" t="str">
        <f t="shared" si="53"/>
        <v>W</v>
      </c>
      <c r="I1617" s="5"/>
      <c r="J1617" s="5"/>
      <c r="K1617" s="5"/>
      <c r="L1617" s="5">
        <v>9.8000000000000007</v>
      </c>
      <c r="M1617" s="2" t="s">
        <v>571</v>
      </c>
      <c r="N1617" s="5"/>
      <c r="O1617" s="5">
        <v>24</v>
      </c>
      <c r="P1617" s="5">
        <f>(1.9459*O1617) - 31.577</f>
        <v>15.124599999999997</v>
      </c>
      <c r="Q1617" s="2" t="s">
        <v>376</v>
      </c>
      <c r="R1617" s="5">
        <f>P1617*L1617</f>
        <v>148.22107999999997</v>
      </c>
      <c r="S1617" s="5">
        <f>0.043*100</f>
        <v>4.3</v>
      </c>
      <c r="V1617" s="5"/>
      <c r="W1617" s="6" t="s">
        <v>2217</v>
      </c>
    </row>
    <row r="1618" spans="1:23" x14ac:dyDescent="0.15">
      <c r="A1618" s="2" t="s">
        <v>221</v>
      </c>
      <c r="B1618" s="2" t="s">
        <v>3930</v>
      </c>
      <c r="C1618" s="2" t="s">
        <v>1010</v>
      </c>
      <c r="D1618" s="2" t="s">
        <v>780</v>
      </c>
      <c r="E1618" s="1"/>
      <c r="F1618" s="2" t="s">
        <v>374</v>
      </c>
      <c r="G1618" s="2" t="s">
        <v>374</v>
      </c>
      <c r="H1618" s="2" t="str">
        <f t="shared" si="53"/>
        <v>C</v>
      </c>
      <c r="I1618" s="5"/>
      <c r="J1618" s="5"/>
      <c r="K1618" s="5"/>
      <c r="L1618" s="5">
        <v>3</v>
      </c>
      <c r="M1618" s="2" t="s">
        <v>571</v>
      </c>
      <c r="N1618" s="5">
        <v>33</v>
      </c>
      <c r="O1618" s="5">
        <v>17.25</v>
      </c>
      <c r="P1618" s="5">
        <f xml:space="preserve"> 0.191*N1618 + 0.576*O1618 - 10.113</f>
        <v>6.1260000000000012</v>
      </c>
      <c r="Q1618" s="2" t="s">
        <v>376</v>
      </c>
      <c r="R1618" s="5">
        <v>18.378</v>
      </c>
      <c r="S1618" s="5"/>
      <c r="T1618" s="2">
        <v>2</v>
      </c>
      <c r="U1618" s="2" t="str">
        <f>IF(T1618&lt;=1, "1",IF(AND(T1618&gt;1,T1618&lt;4), "2-3", "+4"))</f>
        <v>2-3</v>
      </c>
      <c r="V1618" s="5"/>
      <c r="W1618" s="6" t="s">
        <v>2512</v>
      </c>
    </row>
    <row r="1619" spans="1:23" x14ac:dyDescent="0.15">
      <c r="A1619" s="2" t="s">
        <v>221</v>
      </c>
      <c r="B1619" s="2" t="s">
        <v>3930</v>
      </c>
      <c r="C1619" s="2" t="s">
        <v>1010</v>
      </c>
      <c r="D1619" s="2" t="s">
        <v>780</v>
      </c>
      <c r="E1619" s="1"/>
      <c r="F1619" s="2" t="s">
        <v>374</v>
      </c>
      <c r="G1619" s="2" t="s">
        <v>374</v>
      </c>
      <c r="H1619" s="2" t="str">
        <f t="shared" si="53"/>
        <v>C</v>
      </c>
      <c r="I1619" s="5">
        <v>11.21</v>
      </c>
      <c r="J1619" s="5">
        <v>241</v>
      </c>
      <c r="K1619" s="5"/>
      <c r="L1619" s="5">
        <v>3</v>
      </c>
      <c r="M1619" s="5" t="s">
        <v>571</v>
      </c>
      <c r="N1619" s="5">
        <v>29.44</v>
      </c>
      <c r="O1619" s="5">
        <v>17.239999999999998</v>
      </c>
      <c r="P1619" s="5">
        <v>5.25</v>
      </c>
      <c r="Q1619" s="2" t="s">
        <v>18</v>
      </c>
      <c r="R1619" s="5">
        <v>15.75</v>
      </c>
      <c r="S1619" s="5">
        <v>6.54</v>
      </c>
      <c r="T1619" s="2">
        <v>2</v>
      </c>
      <c r="U1619" s="2" t="str">
        <f>IF(T1619&lt;=1, "1",IF(AND(T1619&gt;1,T1619&lt;4), "2-3", "+4"))</f>
        <v>2-3</v>
      </c>
      <c r="V1619" s="5">
        <f>S1619*T1619</f>
        <v>13.08</v>
      </c>
      <c r="W1619" s="6" t="s">
        <v>3033</v>
      </c>
    </row>
    <row r="1620" spans="1:23" x14ac:dyDescent="0.15">
      <c r="A1620" s="2" t="s">
        <v>221</v>
      </c>
      <c r="B1620" s="2" t="s">
        <v>3930</v>
      </c>
      <c r="C1620" s="2" t="s">
        <v>1010</v>
      </c>
      <c r="D1620" s="2" t="s">
        <v>780</v>
      </c>
      <c r="E1620" s="1"/>
      <c r="F1620" s="2" t="s">
        <v>374</v>
      </c>
      <c r="G1620" s="2" t="s">
        <v>374</v>
      </c>
      <c r="H1620" s="2" t="str">
        <f t="shared" si="53"/>
        <v>C</v>
      </c>
      <c r="I1620" s="5">
        <v>11.3</v>
      </c>
      <c r="J1620" s="5">
        <v>234</v>
      </c>
      <c r="K1620" s="5"/>
      <c r="L1620" s="5">
        <v>2</v>
      </c>
      <c r="M1620" s="2" t="s">
        <v>571</v>
      </c>
      <c r="N1620" s="7">
        <f>MEDIAN(30,36)</f>
        <v>33</v>
      </c>
      <c r="O1620" s="5"/>
      <c r="P1620" s="5"/>
      <c r="R1620" s="5"/>
      <c r="S1620" s="5"/>
      <c r="T1620" s="2">
        <v>3</v>
      </c>
      <c r="U1620" s="2" t="str">
        <f>IF(T1620&lt;=1, "1",IF(AND(T1620&gt;1,T1620&lt;4), "2-3", "+4"))</f>
        <v>2-3</v>
      </c>
      <c r="V1620" s="5"/>
      <c r="W1620" s="6" t="s">
        <v>3037</v>
      </c>
    </row>
    <row r="1621" spans="1:23" x14ac:dyDescent="0.15">
      <c r="A1621" s="2" t="s">
        <v>221</v>
      </c>
      <c r="B1621" s="2" t="s">
        <v>3930</v>
      </c>
      <c r="C1621" s="2" t="s">
        <v>1010</v>
      </c>
      <c r="D1621" s="2" t="s">
        <v>780</v>
      </c>
      <c r="E1621" s="1"/>
      <c r="F1621" s="2" t="s">
        <v>260</v>
      </c>
      <c r="G1621" s="2">
        <v>34</v>
      </c>
      <c r="H1621" s="2" t="str">
        <f t="shared" si="53"/>
        <v>W</v>
      </c>
      <c r="I1621" s="5">
        <v>11.59</v>
      </c>
      <c r="J1621" s="5">
        <v>227</v>
      </c>
      <c r="K1621" s="5">
        <f>MEDIAN(5,6)</f>
        <v>5.5</v>
      </c>
      <c r="L1621" s="5">
        <v>3.8</v>
      </c>
      <c r="M1621" s="2" t="s">
        <v>571</v>
      </c>
      <c r="N1621" s="5">
        <v>30.7</v>
      </c>
      <c r="O1621" s="5">
        <v>17.2</v>
      </c>
      <c r="P1621" s="5">
        <v>5.7</v>
      </c>
      <c r="Q1621" s="2" t="s">
        <v>18</v>
      </c>
      <c r="R1621" s="5">
        <v>21.6</v>
      </c>
      <c r="S1621" s="5">
        <v>9.1999999999999993</v>
      </c>
      <c r="T1621" s="2">
        <v>2.4</v>
      </c>
      <c r="U1621" s="2" t="str">
        <f>IF(T1621&lt;=1, "1",IF(AND(T1621&gt;1,T1621&lt;4), "2-3", "+4"))</f>
        <v>2-3</v>
      </c>
      <c r="V1621" s="5">
        <f>S1621*T1621</f>
        <v>22.08</v>
      </c>
      <c r="W1621" s="6" t="s">
        <v>1901</v>
      </c>
    </row>
    <row r="1622" spans="1:23" x14ac:dyDescent="0.15">
      <c r="A1622" s="2" t="s">
        <v>221</v>
      </c>
      <c r="B1622" s="2" t="s">
        <v>3930</v>
      </c>
      <c r="C1622" s="2" t="s">
        <v>1010</v>
      </c>
      <c r="D1622" s="2" t="s">
        <v>780</v>
      </c>
      <c r="E1622" s="1"/>
      <c r="F1622" s="2" t="s">
        <v>3147</v>
      </c>
      <c r="G1622" s="2">
        <v>34</v>
      </c>
      <c r="H1622" s="2" t="str">
        <f t="shared" si="53"/>
        <v>W</v>
      </c>
      <c r="I1622" s="5">
        <v>10.23</v>
      </c>
      <c r="J1622" s="5">
        <v>159</v>
      </c>
      <c r="K1622" s="5">
        <v>8</v>
      </c>
      <c r="L1622" s="5">
        <v>2.2999999999999998</v>
      </c>
      <c r="M1622" s="2" t="s">
        <v>571</v>
      </c>
      <c r="N1622" s="5">
        <v>30</v>
      </c>
      <c r="O1622" s="5">
        <v>16.600000000000001</v>
      </c>
      <c r="P1622" s="5">
        <v>5.2</v>
      </c>
      <c r="Q1622" s="2" t="s">
        <v>18</v>
      </c>
      <c r="R1622" s="5">
        <v>11.6</v>
      </c>
      <c r="S1622" s="5">
        <v>8.1</v>
      </c>
      <c r="T1622" s="2">
        <v>2.6</v>
      </c>
      <c r="U1622" s="2" t="str">
        <f>IF(T1622&lt;=1, "1",IF(AND(T1622&gt;1,T1622&lt;4), "2-3", "+4"))</f>
        <v>2-3</v>
      </c>
      <c r="V1622" s="5">
        <f>S1622*T1622</f>
        <v>21.06</v>
      </c>
      <c r="W1622" s="6" t="s">
        <v>1901</v>
      </c>
    </row>
    <row r="1623" spans="1:23" x14ac:dyDescent="0.15">
      <c r="A1623" s="2" t="s">
        <v>221</v>
      </c>
      <c r="B1623" s="2" t="s">
        <v>3930</v>
      </c>
      <c r="C1623" s="2" t="s">
        <v>1010</v>
      </c>
      <c r="D1623" s="2" t="s">
        <v>780</v>
      </c>
      <c r="E1623" s="1"/>
      <c r="F1623" s="2" t="s">
        <v>2761</v>
      </c>
      <c r="G1623" s="2">
        <v>34</v>
      </c>
      <c r="H1623" s="2" t="str">
        <f t="shared" si="53"/>
        <v>W</v>
      </c>
      <c r="I1623" s="5"/>
      <c r="J1623" s="5"/>
      <c r="K1623" s="5"/>
      <c r="L1623" s="5">
        <v>5</v>
      </c>
      <c r="M1623" s="2" t="s">
        <v>571</v>
      </c>
      <c r="N1623" s="5">
        <v>27</v>
      </c>
      <c r="O1623" s="5">
        <v>17.8</v>
      </c>
      <c r="P1623" s="5">
        <f xml:space="preserve"> 0.191*N1623 + 0.576*O1623 - 10.113</f>
        <v>5.2967999999999993</v>
      </c>
      <c r="Q1623" s="2" t="s">
        <v>376</v>
      </c>
      <c r="R1623" s="5">
        <v>26.48</v>
      </c>
      <c r="S1623" s="5"/>
      <c r="W1623" s="6" t="s">
        <v>2907</v>
      </c>
    </row>
    <row r="1624" spans="1:23" x14ac:dyDescent="0.15">
      <c r="A1624" s="2" t="s">
        <v>221</v>
      </c>
      <c r="B1624" s="2" t="s">
        <v>3930</v>
      </c>
      <c r="C1624" s="2" t="s">
        <v>1010</v>
      </c>
      <c r="D1624" s="2" t="s">
        <v>781</v>
      </c>
      <c r="E1624" s="1"/>
      <c r="F1624" s="2" t="s">
        <v>175</v>
      </c>
      <c r="H1624" s="2" t="s">
        <v>3887</v>
      </c>
      <c r="I1624" s="5">
        <v>8.6999999999999993</v>
      </c>
      <c r="J1624" s="5">
        <v>85</v>
      </c>
      <c r="K1624" s="5"/>
      <c r="L1624" s="5">
        <v>2</v>
      </c>
      <c r="M1624" s="2" t="s">
        <v>571</v>
      </c>
      <c r="N1624" s="5">
        <v>32.1</v>
      </c>
      <c r="O1624" s="5">
        <v>15.9</v>
      </c>
      <c r="P1624" s="5">
        <v>5.75</v>
      </c>
      <c r="Q1624" s="2" t="s">
        <v>18</v>
      </c>
      <c r="R1624" s="5">
        <v>11.5</v>
      </c>
      <c r="S1624" s="5">
        <v>13.53</v>
      </c>
      <c r="W1624" s="6" t="s">
        <v>3038</v>
      </c>
    </row>
    <row r="1625" spans="1:23" x14ac:dyDescent="0.15">
      <c r="A1625" s="2" t="s">
        <v>221</v>
      </c>
      <c r="B1625" s="2" t="s">
        <v>3930</v>
      </c>
      <c r="C1625" s="2" t="s">
        <v>1010</v>
      </c>
      <c r="D1625" s="2" t="s">
        <v>781</v>
      </c>
      <c r="E1625" s="1"/>
      <c r="F1625" s="2" t="s">
        <v>264</v>
      </c>
      <c r="G1625" s="2">
        <v>33</v>
      </c>
      <c r="H1625" s="2" t="str">
        <f t="shared" si="53"/>
        <v>W</v>
      </c>
      <c r="I1625" s="5">
        <v>9.5</v>
      </c>
      <c r="J1625" s="5">
        <v>113</v>
      </c>
      <c r="K1625" s="5"/>
      <c r="L1625" s="5">
        <v>2.2000000000000002</v>
      </c>
      <c r="M1625" s="2" t="s">
        <v>571</v>
      </c>
      <c r="N1625" s="5">
        <v>32</v>
      </c>
      <c r="O1625" s="5">
        <v>16.399999999999999</v>
      </c>
      <c r="P1625" s="5">
        <v>5.548</v>
      </c>
      <c r="Q1625" s="2" t="s">
        <v>376</v>
      </c>
      <c r="R1625" s="5">
        <v>12.21</v>
      </c>
      <c r="S1625" s="5">
        <f>(R1625/J1625)*100</f>
        <v>10.805309734513276</v>
      </c>
      <c r="W1625" s="6" t="s">
        <v>2045</v>
      </c>
    </row>
    <row r="1626" spans="1:23" x14ac:dyDescent="0.15">
      <c r="A1626" s="2" t="s">
        <v>221</v>
      </c>
      <c r="B1626" s="2" t="s">
        <v>3930</v>
      </c>
      <c r="C1626" s="2" t="s">
        <v>1010</v>
      </c>
      <c r="D1626" s="2" t="s">
        <v>781</v>
      </c>
      <c r="E1626" s="1"/>
      <c r="F1626" s="2" t="s">
        <v>175</v>
      </c>
      <c r="G1626" s="2">
        <v>34.15</v>
      </c>
      <c r="H1626" s="2" t="str">
        <f t="shared" si="53"/>
        <v>W</v>
      </c>
      <c r="I1626" s="5"/>
      <c r="J1626" s="5"/>
      <c r="K1626" s="7">
        <f>MEDIAN(12,15)</f>
        <v>13.5</v>
      </c>
      <c r="L1626" s="5"/>
      <c r="M1626" s="2" t="s">
        <v>571</v>
      </c>
      <c r="N1626" s="5"/>
      <c r="O1626" s="5"/>
      <c r="P1626" s="5"/>
      <c r="R1626" s="5"/>
      <c r="S1626" s="5"/>
      <c r="W1626" s="6" t="s">
        <v>3136</v>
      </c>
    </row>
    <row r="1627" spans="1:23" x14ac:dyDescent="0.15">
      <c r="A1627" s="2" t="s">
        <v>221</v>
      </c>
      <c r="B1627" s="2" t="s">
        <v>3930</v>
      </c>
      <c r="C1627" s="2" t="s">
        <v>1010</v>
      </c>
      <c r="D1627" s="2" t="s">
        <v>781</v>
      </c>
      <c r="E1627" s="1"/>
      <c r="F1627" s="2" t="s">
        <v>4077</v>
      </c>
      <c r="H1627" s="2" t="s">
        <v>3887</v>
      </c>
      <c r="I1627" s="5"/>
      <c r="J1627" s="5"/>
      <c r="K1627" s="7">
        <v>7</v>
      </c>
      <c r="L1627" s="5"/>
      <c r="M1627" s="2" t="s">
        <v>571</v>
      </c>
      <c r="N1627" s="5"/>
      <c r="O1627" s="5"/>
      <c r="P1627" s="5"/>
      <c r="R1627" s="5"/>
      <c r="S1627" s="5"/>
      <c r="W1627" s="6" t="s">
        <v>4078</v>
      </c>
    </row>
    <row r="1628" spans="1:23" ht="12.75" customHeight="1" x14ac:dyDescent="0.15">
      <c r="A1628" s="2" t="s">
        <v>221</v>
      </c>
      <c r="B1628" s="2" t="s">
        <v>3930</v>
      </c>
      <c r="C1628" s="2" t="s">
        <v>1010</v>
      </c>
      <c r="D1628" s="2" t="s">
        <v>781</v>
      </c>
      <c r="E1628" s="1"/>
      <c r="F1628" s="2" t="s">
        <v>175</v>
      </c>
      <c r="G1628" s="2" t="s">
        <v>374</v>
      </c>
      <c r="H1628" s="2" t="str">
        <f t="shared" si="53"/>
        <v>C</v>
      </c>
      <c r="I1628" s="5">
        <v>10.5</v>
      </c>
      <c r="J1628" s="5">
        <v>154</v>
      </c>
      <c r="K1628" s="5"/>
      <c r="L1628" s="5">
        <v>1.68</v>
      </c>
      <c r="M1628" s="2" t="s">
        <v>571</v>
      </c>
      <c r="N1628" s="5">
        <v>29.09</v>
      </c>
      <c r="O1628" s="5">
        <v>17.04</v>
      </c>
      <c r="P1628" s="5">
        <f xml:space="preserve"> 0.21*N1628 + 0.55*O1628 - 10.192</f>
        <v>5.2888999999999982</v>
      </c>
      <c r="Q1628" s="2" t="s">
        <v>376</v>
      </c>
      <c r="R1628" s="5">
        <v>8.89</v>
      </c>
      <c r="S1628" s="5">
        <v>5.77</v>
      </c>
      <c r="T1628" s="2">
        <v>2</v>
      </c>
      <c r="U1628" s="2" t="str">
        <f>IF(T1628&lt;=1, "1",IF(AND(T1628&gt;1,T1628&lt;4), "2-3", "+4"))</f>
        <v>2-3</v>
      </c>
      <c r="V1628" s="5">
        <f>S1628*T1628</f>
        <v>11.54</v>
      </c>
      <c r="W1628" s="6" t="s">
        <v>3039</v>
      </c>
    </row>
    <row r="1629" spans="1:23" x14ac:dyDescent="0.15">
      <c r="A1629" s="1" t="s">
        <v>221</v>
      </c>
      <c r="B1629" s="2" t="s">
        <v>3930</v>
      </c>
      <c r="C1629" s="1" t="s">
        <v>1010</v>
      </c>
      <c r="D1629" s="1" t="s">
        <v>1391</v>
      </c>
      <c r="E1629" s="1"/>
      <c r="F1629" s="1" t="s">
        <v>374</v>
      </c>
      <c r="G1629" s="1" t="s">
        <v>374</v>
      </c>
      <c r="H1629" s="2" t="str">
        <f t="shared" si="53"/>
        <v>C</v>
      </c>
      <c r="I1629" s="8">
        <v>8.1</v>
      </c>
      <c r="J1629" s="8">
        <v>112</v>
      </c>
      <c r="K1629" s="8"/>
      <c r="L1629" s="8">
        <v>3</v>
      </c>
      <c r="M1629" s="1" t="s">
        <v>571</v>
      </c>
      <c r="N1629" s="8"/>
      <c r="O1629" s="8"/>
      <c r="P1629" s="8"/>
      <c r="Q1629" s="1"/>
      <c r="R1629" s="8"/>
      <c r="S1629" s="8"/>
      <c r="T1629" s="1"/>
      <c r="U1629" s="1"/>
      <c r="V1629" s="8"/>
      <c r="W1629" s="6" t="s">
        <v>4025</v>
      </c>
    </row>
    <row r="1630" spans="1:23" x14ac:dyDescent="0.15">
      <c r="A1630" s="2" t="s">
        <v>221</v>
      </c>
      <c r="B1630" s="2" t="s">
        <v>3930</v>
      </c>
      <c r="C1630" s="2" t="s">
        <v>1010</v>
      </c>
      <c r="D1630" s="2" t="s">
        <v>782</v>
      </c>
      <c r="E1630" s="1"/>
      <c r="F1630" s="2" t="s">
        <v>374</v>
      </c>
      <c r="G1630" s="2" t="s">
        <v>374</v>
      </c>
      <c r="H1630" s="2" t="str">
        <f t="shared" si="53"/>
        <v>C</v>
      </c>
      <c r="I1630" s="5">
        <v>13</v>
      </c>
      <c r="J1630" s="5">
        <v>356.7</v>
      </c>
      <c r="K1630" s="5"/>
      <c r="L1630" s="5">
        <v>3.31</v>
      </c>
      <c r="M1630" s="2" t="s">
        <v>571</v>
      </c>
      <c r="N1630" s="5"/>
      <c r="O1630" s="5"/>
      <c r="P1630" s="5"/>
      <c r="R1630" s="5"/>
      <c r="S1630" s="5"/>
      <c r="T1630" s="2" t="s">
        <v>893</v>
      </c>
      <c r="U1630" s="40" t="s">
        <v>4047</v>
      </c>
      <c r="V1630" s="5"/>
      <c r="W1630" s="6" t="s">
        <v>2513</v>
      </c>
    </row>
    <row r="1631" spans="1:23" x14ac:dyDescent="0.15">
      <c r="A1631" s="2" t="s">
        <v>221</v>
      </c>
      <c r="B1631" s="2" t="s">
        <v>3930</v>
      </c>
      <c r="C1631" s="2" t="s">
        <v>1010</v>
      </c>
      <c r="D1631" s="2" t="s">
        <v>782</v>
      </c>
      <c r="E1631" s="1"/>
      <c r="F1631" s="4" t="s">
        <v>265</v>
      </c>
      <c r="G1631" s="4">
        <v>30.7</v>
      </c>
      <c r="H1631" s="2" t="str">
        <f t="shared" si="53"/>
        <v>W</v>
      </c>
      <c r="I1631" s="5"/>
      <c r="J1631" s="5"/>
      <c r="K1631" s="5"/>
      <c r="L1631" s="5">
        <v>2.4</v>
      </c>
      <c r="M1631" s="2" t="s">
        <v>571</v>
      </c>
      <c r="N1631" s="5">
        <v>28.5</v>
      </c>
      <c r="O1631" s="33">
        <v>17.100000000000001</v>
      </c>
      <c r="P1631" s="33">
        <v>4.57</v>
      </c>
      <c r="Q1631" s="2" t="s">
        <v>18</v>
      </c>
      <c r="R1631" s="33">
        <f>P1631*L1631</f>
        <v>10.968</v>
      </c>
      <c r="S1631" s="5"/>
      <c r="T1631" s="4"/>
      <c r="U1631" s="4"/>
      <c r="V1631" s="33"/>
      <c r="W1631" s="10" t="s">
        <v>2046</v>
      </c>
    </row>
    <row r="1632" spans="1:23" x14ac:dyDescent="0.15">
      <c r="A1632" s="2" t="s">
        <v>221</v>
      </c>
      <c r="B1632" s="2" t="s">
        <v>3930</v>
      </c>
      <c r="C1632" s="2" t="s">
        <v>1010</v>
      </c>
      <c r="D1632" s="2" t="s">
        <v>782</v>
      </c>
      <c r="E1632" s="1"/>
      <c r="F1632" s="2" t="s">
        <v>2290</v>
      </c>
      <c r="G1632" s="2">
        <v>30.7</v>
      </c>
      <c r="H1632" s="2" t="str">
        <f t="shared" si="53"/>
        <v>W</v>
      </c>
      <c r="I1632" s="5"/>
      <c r="J1632" s="5"/>
      <c r="K1632" s="5">
        <v>8</v>
      </c>
      <c r="L1632" s="5"/>
      <c r="M1632" s="2" t="s">
        <v>571</v>
      </c>
      <c r="N1632" s="5"/>
      <c r="O1632" s="5"/>
      <c r="P1632" s="5"/>
      <c r="R1632" s="5"/>
      <c r="S1632" s="5"/>
      <c r="V1632" s="5"/>
      <c r="W1632" s="6" t="s">
        <v>3356</v>
      </c>
    </row>
    <row r="1633" spans="1:23" x14ac:dyDescent="0.15">
      <c r="A1633" s="2" t="s">
        <v>221</v>
      </c>
      <c r="B1633" s="2" t="s">
        <v>3930</v>
      </c>
      <c r="C1633" s="2" t="s">
        <v>1010</v>
      </c>
      <c r="D1633" s="2" t="s">
        <v>782</v>
      </c>
      <c r="E1633" s="1"/>
      <c r="F1633" s="2" t="s">
        <v>883</v>
      </c>
      <c r="G1633" s="2">
        <v>28.7</v>
      </c>
      <c r="H1633" s="2" t="str">
        <f t="shared" si="53"/>
        <v>W</v>
      </c>
      <c r="I1633" s="5">
        <v>10.51</v>
      </c>
      <c r="J1633" s="5">
        <v>165.5</v>
      </c>
      <c r="K1633" s="5">
        <v>6</v>
      </c>
      <c r="L1633" s="5">
        <v>3</v>
      </c>
      <c r="M1633" s="2" t="s">
        <v>571</v>
      </c>
      <c r="N1633" s="5">
        <v>27.9</v>
      </c>
      <c r="O1633" s="5">
        <v>17.5</v>
      </c>
      <c r="P1633" s="5">
        <v>5.27</v>
      </c>
      <c r="Q1633" s="2" t="s">
        <v>18</v>
      </c>
      <c r="R1633" s="5">
        <v>15.81</v>
      </c>
      <c r="S1633" s="5">
        <v>9.23</v>
      </c>
      <c r="T1633" s="2">
        <v>4</v>
      </c>
      <c r="U1633" s="2" t="str">
        <f>IF(T1633&lt;=1, "1",IF(AND(T1633&gt;1,T1633&lt;4), "2-3", "+4"))</f>
        <v>+4</v>
      </c>
      <c r="V1633" s="5">
        <v>36.9</v>
      </c>
      <c r="W1633" s="6" t="s">
        <v>1852</v>
      </c>
    </row>
    <row r="1634" spans="1:23" x14ac:dyDescent="0.15">
      <c r="A1634" s="2" t="s">
        <v>221</v>
      </c>
      <c r="B1634" s="2" t="s">
        <v>3930</v>
      </c>
      <c r="C1634" s="2" t="s">
        <v>1010</v>
      </c>
      <c r="D1634" s="2" t="s">
        <v>782</v>
      </c>
      <c r="E1634" s="1"/>
      <c r="F1634" s="2" t="s">
        <v>374</v>
      </c>
      <c r="G1634" s="2" t="s">
        <v>374</v>
      </c>
      <c r="H1634" s="2" t="str">
        <f t="shared" si="53"/>
        <v>C</v>
      </c>
      <c r="I1634" s="5">
        <v>10.47</v>
      </c>
      <c r="J1634" s="5">
        <v>212.3</v>
      </c>
      <c r="K1634" s="5"/>
      <c r="L1634" s="7">
        <f>MEDIAN(2,3)</f>
        <v>2.5</v>
      </c>
      <c r="M1634" s="2" t="s">
        <v>571</v>
      </c>
      <c r="N1634" s="5">
        <f>MEDIAN(27,35)</f>
        <v>31</v>
      </c>
      <c r="O1634" s="5">
        <f>MEDIAN(14.5,19)</f>
        <v>16.75</v>
      </c>
      <c r="P1634" s="7">
        <f>MEDIAN(4,7)</f>
        <v>5.5</v>
      </c>
      <c r="Q1634" s="2" t="s">
        <v>18</v>
      </c>
      <c r="R1634" s="5">
        <f>P1634*L1634</f>
        <v>13.75</v>
      </c>
      <c r="S1634" s="5">
        <f>(R1634/J1634)*100</f>
        <v>6.4766839378238332</v>
      </c>
      <c r="T1634" s="9">
        <f>MEDIAN(3,4)</f>
        <v>3.5</v>
      </c>
      <c r="U1634" s="2" t="str">
        <f>IF(T1634&lt;=1, "1",IF(AND(T1634&gt;1,T1634&lt;4), "2-3", "+4"))</f>
        <v>2-3</v>
      </c>
      <c r="V1634" s="5">
        <f>S1634*T1634</f>
        <v>22.668393782383415</v>
      </c>
      <c r="W1634" s="6" t="s">
        <v>3034</v>
      </c>
    </row>
    <row r="1635" spans="1:23" x14ac:dyDescent="0.15">
      <c r="A1635" s="2" t="s">
        <v>221</v>
      </c>
      <c r="B1635" s="2" t="s">
        <v>3930</v>
      </c>
      <c r="C1635" s="2" t="s">
        <v>1010</v>
      </c>
      <c r="D1635" s="2" t="s">
        <v>782</v>
      </c>
      <c r="E1635" s="1"/>
      <c r="F1635" s="2" t="s">
        <v>374</v>
      </c>
      <c r="G1635" s="2" t="s">
        <v>374</v>
      </c>
      <c r="H1635" s="2" t="str">
        <f t="shared" si="53"/>
        <v>C</v>
      </c>
      <c r="I1635" s="5">
        <v>9.99</v>
      </c>
      <c r="J1635" s="5">
        <v>209.14</v>
      </c>
      <c r="K1635" s="5"/>
      <c r="L1635" s="7">
        <f>MEDIAN(3,4)</f>
        <v>3.5</v>
      </c>
      <c r="M1635" s="2" t="s">
        <v>571</v>
      </c>
      <c r="N1635" s="5">
        <f>MEDIAN(27,35)</f>
        <v>31</v>
      </c>
      <c r="O1635" s="5">
        <f>MEDIAN(14.5,18.8)</f>
        <v>16.649999999999999</v>
      </c>
      <c r="P1635" s="7">
        <f xml:space="preserve"> 0.21*N1635 + 0.55*O1635 - 10.192</f>
        <v>5.4755000000000003</v>
      </c>
      <c r="Q1635" s="2" t="s">
        <v>376</v>
      </c>
      <c r="R1635" s="5">
        <f>P1635*L1635</f>
        <v>19.164250000000003</v>
      </c>
      <c r="S1635" s="5">
        <f>(R1635/J1635)*100</f>
        <v>9.163359472123938</v>
      </c>
      <c r="T1635" s="2">
        <v>4</v>
      </c>
      <c r="U1635" s="2" t="str">
        <f>IF(T1635&lt;=1, "1",IF(AND(T1635&gt;1,T1635&lt;4), "2-3", "+4"))</f>
        <v>+4</v>
      </c>
      <c r="V1635" s="5">
        <f>S1635*T1635</f>
        <v>36.653437888495752</v>
      </c>
      <c r="W1635" s="6" t="s">
        <v>3035</v>
      </c>
    </row>
    <row r="1636" spans="1:23" x14ac:dyDescent="0.15">
      <c r="A1636" s="2" t="s">
        <v>221</v>
      </c>
      <c r="B1636" s="2" t="s">
        <v>3930</v>
      </c>
      <c r="C1636" s="2" t="s">
        <v>1010</v>
      </c>
      <c r="D1636" s="2" t="s">
        <v>782</v>
      </c>
      <c r="E1636" s="1"/>
      <c r="F1636" s="2" t="s">
        <v>4051</v>
      </c>
      <c r="G1636" s="2">
        <v>29.09</v>
      </c>
      <c r="H1636" s="2" t="str">
        <f t="shared" si="53"/>
        <v>W</v>
      </c>
      <c r="I1636" s="5">
        <v>9.93</v>
      </c>
      <c r="J1636" s="5">
        <v>200.18</v>
      </c>
      <c r="K1636" s="5"/>
      <c r="L1636" s="5">
        <v>2.5</v>
      </c>
      <c r="M1636" s="2" t="s">
        <v>571</v>
      </c>
      <c r="N1636" s="5"/>
      <c r="O1636" s="5">
        <v>19.3</v>
      </c>
      <c r="P1636" s="7">
        <v>6.82</v>
      </c>
      <c r="Q1636" s="2" t="s">
        <v>376</v>
      </c>
      <c r="R1636" s="5">
        <f>P1636*L1636</f>
        <v>17.05</v>
      </c>
      <c r="S1636" s="5">
        <f>(R1636/J1636)*100</f>
        <v>8.5173343990408625</v>
      </c>
      <c r="T1636" s="2" t="s">
        <v>495</v>
      </c>
      <c r="U1636" s="40" t="s">
        <v>395</v>
      </c>
      <c r="V1636" s="5"/>
      <c r="W1636" s="6" t="s">
        <v>4052</v>
      </c>
    </row>
    <row r="1637" spans="1:23" x14ac:dyDescent="0.15">
      <c r="A1637" s="2" t="s">
        <v>221</v>
      </c>
      <c r="B1637" s="2" t="s">
        <v>3930</v>
      </c>
      <c r="C1637" s="2" t="s">
        <v>1010</v>
      </c>
      <c r="D1637" s="2" t="s">
        <v>782</v>
      </c>
      <c r="E1637" s="1"/>
      <c r="F1637" s="2" t="s">
        <v>69</v>
      </c>
      <c r="G1637" s="2">
        <v>29.58</v>
      </c>
      <c r="H1637" s="2" t="str">
        <f t="shared" si="53"/>
        <v>W</v>
      </c>
      <c r="I1637" s="5">
        <v>10</v>
      </c>
      <c r="J1637" s="5">
        <f xml:space="preserve"> 0.000406*((I1637*10)^2.8508)</f>
        <v>204.23305492035811</v>
      </c>
      <c r="K1637" s="7">
        <f>MEDIAN(5,6)</f>
        <v>5.5</v>
      </c>
      <c r="L1637" s="5">
        <v>2.4</v>
      </c>
      <c r="M1637" s="2" t="s">
        <v>571</v>
      </c>
      <c r="N1637" s="5">
        <v>28.5</v>
      </c>
      <c r="O1637" s="5">
        <v>17.2</v>
      </c>
      <c r="P1637" s="7">
        <f xml:space="preserve"> 0.21*N1637 + 0.55*O1637 - 10.192</f>
        <v>5.2530000000000001</v>
      </c>
      <c r="Q1637" s="2" t="s">
        <v>376</v>
      </c>
      <c r="R1637" s="5">
        <f>P1637*L1637</f>
        <v>12.607200000000001</v>
      </c>
      <c r="S1637" s="5">
        <f>(R1637/J1637)*100</f>
        <v>6.1729478633692532</v>
      </c>
      <c r="T1637" s="2">
        <v>3</v>
      </c>
      <c r="U1637" s="2" t="str">
        <f>IF(T1637&lt;=1, "1",IF(AND(T1637&gt;1,T1637&lt;4), "2-3", "+4"))</f>
        <v>2-3</v>
      </c>
      <c r="V1637" s="5">
        <f>S1637*T1637</f>
        <v>18.51884359010776</v>
      </c>
      <c r="W1637" s="6" t="s">
        <v>1851</v>
      </c>
    </row>
    <row r="1638" spans="1:23" x14ac:dyDescent="0.15">
      <c r="A1638" s="2" t="s">
        <v>221</v>
      </c>
      <c r="B1638" s="2" t="s">
        <v>3930</v>
      </c>
      <c r="C1638" s="2" t="s">
        <v>1010</v>
      </c>
      <c r="D1638" s="2" t="s">
        <v>782</v>
      </c>
      <c r="E1638" s="1"/>
      <c r="F1638" s="2" t="s">
        <v>69</v>
      </c>
      <c r="H1638" s="2" t="s">
        <v>3887</v>
      </c>
      <c r="I1638" s="5"/>
      <c r="J1638" s="5"/>
      <c r="K1638" s="5"/>
      <c r="L1638" s="7">
        <v>2.5</v>
      </c>
      <c r="M1638" s="2" t="s">
        <v>571</v>
      </c>
      <c r="N1638" s="5">
        <v>27</v>
      </c>
      <c r="O1638" s="5">
        <v>18.3</v>
      </c>
      <c r="P1638" s="7">
        <v>5.6</v>
      </c>
      <c r="Q1638" s="2" t="s">
        <v>18</v>
      </c>
      <c r="R1638" s="5">
        <f>P1638*L1638</f>
        <v>14</v>
      </c>
      <c r="S1638" s="5"/>
      <c r="T1638" s="9"/>
      <c r="U1638" s="9"/>
      <c r="V1638" s="5"/>
      <c r="W1638" s="6" t="s">
        <v>2043</v>
      </c>
    </row>
    <row r="1639" spans="1:23" x14ac:dyDescent="0.15">
      <c r="A1639" s="2" t="s">
        <v>221</v>
      </c>
      <c r="B1639" s="2" t="s">
        <v>3930</v>
      </c>
      <c r="C1639" s="2" t="s">
        <v>1010</v>
      </c>
      <c r="D1639" s="2" t="s">
        <v>782</v>
      </c>
      <c r="E1639" s="1"/>
      <c r="F1639" s="2" t="s">
        <v>374</v>
      </c>
      <c r="G1639" s="2" t="s">
        <v>374</v>
      </c>
      <c r="H1639" s="2" t="str">
        <f t="shared" si="53"/>
        <v>C</v>
      </c>
      <c r="I1639" s="5">
        <v>8.5</v>
      </c>
      <c r="J1639" s="5">
        <v>135</v>
      </c>
      <c r="K1639" s="5"/>
      <c r="L1639" s="7">
        <v>2</v>
      </c>
      <c r="M1639" s="2" t="s">
        <v>571</v>
      </c>
      <c r="N1639" s="5">
        <v>30</v>
      </c>
      <c r="O1639" s="5">
        <v>17</v>
      </c>
      <c r="P1639" s="7">
        <f xml:space="preserve"> 0.21*N1639 + 0.55*O1639 - 10.192</f>
        <v>5.458000000000002</v>
      </c>
      <c r="Q1639" s="2" t="s">
        <v>376</v>
      </c>
      <c r="R1639" s="5">
        <v>10.32</v>
      </c>
      <c r="S1639" s="5">
        <v>7.64</v>
      </c>
      <c r="T1639" s="9">
        <v>2</v>
      </c>
      <c r="U1639" s="2" t="str">
        <f>IF(T1639&lt;=1, "1",IF(AND(T1639&gt;1,T1639&lt;4), "2-3", "+4"))</f>
        <v>2-3</v>
      </c>
      <c r="V1639" s="5">
        <f>S1639*T1639</f>
        <v>15.28</v>
      </c>
      <c r="W1639" s="6" t="s">
        <v>3040</v>
      </c>
    </row>
    <row r="1640" spans="1:23" x14ac:dyDescent="0.15">
      <c r="A1640" s="2" t="s">
        <v>221</v>
      </c>
      <c r="B1640" s="2" t="s">
        <v>3930</v>
      </c>
      <c r="C1640" s="2" t="s">
        <v>1010</v>
      </c>
      <c r="D1640" s="2" t="s">
        <v>782</v>
      </c>
      <c r="E1640" s="1"/>
      <c r="F1640" s="2" t="s">
        <v>374</v>
      </c>
      <c r="G1640" s="2" t="s">
        <v>374</v>
      </c>
      <c r="H1640" s="2" t="str">
        <f t="shared" si="53"/>
        <v>C</v>
      </c>
      <c r="I1640" s="5">
        <v>10.1</v>
      </c>
      <c r="J1640" s="5">
        <v>200</v>
      </c>
      <c r="K1640" s="5"/>
      <c r="L1640" s="5">
        <v>3.63</v>
      </c>
      <c r="M1640" s="2" t="s">
        <v>571</v>
      </c>
      <c r="N1640" s="5">
        <v>29.8</v>
      </c>
      <c r="O1640" s="5">
        <v>17.100000000000001</v>
      </c>
      <c r="P1640" s="7">
        <f xml:space="preserve"> 0.21*N1640 + 0.55*O1640 - 10.192</f>
        <v>5.4710000000000001</v>
      </c>
      <c r="Q1640" s="2" t="s">
        <v>376</v>
      </c>
      <c r="R1640" s="5">
        <v>19.829999999999998</v>
      </c>
      <c r="S1640" s="5">
        <v>9.92</v>
      </c>
      <c r="T1640" s="2" t="s">
        <v>399</v>
      </c>
      <c r="V1640" s="5"/>
      <c r="W1640" s="6" t="s">
        <v>3041</v>
      </c>
    </row>
    <row r="1641" spans="1:23" x14ac:dyDescent="0.15">
      <c r="A1641" s="2" t="s">
        <v>221</v>
      </c>
      <c r="B1641" s="2" t="s">
        <v>3930</v>
      </c>
      <c r="C1641" s="2" t="s">
        <v>1010</v>
      </c>
      <c r="D1641" s="2" t="s">
        <v>510</v>
      </c>
      <c r="E1641" s="1"/>
      <c r="F1641" s="2" t="s">
        <v>69</v>
      </c>
      <c r="G1641" s="2">
        <v>27.5</v>
      </c>
      <c r="H1641" s="2" t="str">
        <f t="shared" ref="H1641:H1646" si="54">IF(G1641="captive","C","W")</f>
        <v>W</v>
      </c>
      <c r="I1641" s="5">
        <v>6.97</v>
      </c>
      <c r="J1641" s="5">
        <v>53.2</v>
      </c>
      <c r="K1641" s="7">
        <f>MEDIAN(3,5)</f>
        <v>4</v>
      </c>
      <c r="L1641" s="5">
        <v>1.74</v>
      </c>
      <c r="M1641" s="2" t="s">
        <v>571</v>
      </c>
      <c r="N1641" s="5"/>
      <c r="O1641" s="5"/>
      <c r="P1641" s="5"/>
      <c r="R1641" s="5"/>
      <c r="S1641" s="5"/>
      <c r="T1641" s="2" t="s">
        <v>634</v>
      </c>
      <c r="U1641" s="40" t="s">
        <v>4047</v>
      </c>
      <c r="W1641" s="6" t="s">
        <v>2382</v>
      </c>
    </row>
    <row r="1642" spans="1:23" x14ac:dyDescent="0.15">
      <c r="A1642" s="2" t="s">
        <v>221</v>
      </c>
      <c r="B1642" s="2" t="s">
        <v>3930</v>
      </c>
      <c r="C1642" s="2" t="s">
        <v>1010</v>
      </c>
      <c r="D1642" s="2" t="s">
        <v>510</v>
      </c>
      <c r="E1642" s="1"/>
      <c r="F1642" s="2" t="s">
        <v>523</v>
      </c>
      <c r="G1642" s="2">
        <v>36.36</v>
      </c>
      <c r="H1642" s="2" t="str">
        <f t="shared" si="54"/>
        <v>W</v>
      </c>
      <c r="I1642" s="5"/>
      <c r="J1642" s="5"/>
      <c r="K1642" s="7"/>
      <c r="L1642" s="5">
        <v>2.2999999999999998</v>
      </c>
      <c r="M1642" s="2" t="s">
        <v>571</v>
      </c>
      <c r="N1642" s="5"/>
      <c r="O1642" s="5"/>
      <c r="P1642" s="5"/>
      <c r="R1642" s="5"/>
      <c r="S1642" s="5"/>
      <c r="T1642" s="9"/>
      <c r="U1642" s="9"/>
      <c r="W1642" s="6" t="s">
        <v>3042</v>
      </c>
    </row>
    <row r="1643" spans="1:23" x14ac:dyDescent="0.15">
      <c r="A1643" s="2" t="s">
        <v>221</v>
      </c>
      <c r="B1643" s="2" t="s">
        <v>3930</v>
      </c>
      <c r="C1643" s="2" t="s">
        <v>1010</v>
      </c>
      <c r="D1643" s="2" t="s">
        <v>510</v>
      </c>
      <c r="E1643" s="1"/>
      <c r="F1643" s="2" t="s">
        <v>523</v>
      </c>
      <c r="G1643" s="2">
        <v>36.36</v>
      </c>
      <c r="H1643" s="2" t="str">
        <f t="shared" si="54"/>
        <v>W</v>
      </c>
      <c r="I1643" s="5"/>
      <c r="J1643" s="5"/>
      <c r="K1643" s="5"/>
      <c r="L1643" s="5">
        <v>3.7</v>
      </c>
      <c r="M1643" s="2" t="s">
        <v>571</v>
      </c>
      <c r="N1643" s="5"/>
      <c r="O1643" s="5"/>
      <c r="P1643" s="5"/>
      <c r="R1643" s="5"/>
      <c r="S1643" s="5"/>
      <c r="W1643" s="6" t="s">
        <v>3332</v>
      </c>
    </row>
    <row r="1644" spans="1:23" x14ac:dyDescent="0.15">
      <c r="A1644" s="2" t="s">
        <v>221</v>
      </c>
      <c r="B1644" s="2" t="s">
        <v>3930</v>
      </c>
      <c r="C1644" s="2" t="s">
        <v>1010</v>
      </c>
      <c r="D1644" s="2" t="s">
        <v>510</v>
      </c>
      <c r="E1644" s="1"/>
      <c r="F1644" s="2" t="s">
        <v>268</v>
      </c>
      <c r="G1644" s="2">
        <v>38.86</v>
      </c>
      <c r="H1644" s="2" t="str">
        <f t="shared" si="54"/>
        <v>W</v>
      </c>
      <c r="I1644" s="5">
        <v>8.9</v>
      </c>
      <c r="J1644" s="5">
        <v>117.6</v>
      </c>
      <c r="K1644" s="5"/>
      <c r="L1644" s="5">
        <v>3.2</v>
      </c>
      <c r="M1644" s="2" t="s">
        <v>571</v>
      </c>
      <c r="N1644" s="5">
        <v>26.9</v>
      </c>
      <c r="O1644" s="5">
        <v>15</v>
      </c>
      <c r="P1644" s="5">
        <v>3.75</v>
      </c>
      <c r="Q1644" s="2" t="s">
        <v>18</v>
      </c>
      <c r="R1644" s="5">
        <f>P1644*L1644</f>
        <v>12</v>
      </c>
      <c r="S1644" s="5">
        <f>(R1644/J1644)*100</f>
        <v>10.204081632653061</v>
      </c>
      <c r="W1644" s="6" t="s">
        <v>2047</v>
      </c>
    </row>
    <row r="1645" spans="1:23" x14ac:dyDescent="0.15">
      <c r="A1645" s="2" t="s">
        <v>221</v>
      </c>
      <c r="B1645" s="2" t="s">
        <v>3930</v>
      </c>
      <c r="C1645" s="2" t="s">
        <v>1010</v>
      </c>
      <c r="D1645" s="2" t="s">
        <v>510</v>
      </c>
      <c r="E1645" s="1"/>
      <c r="F1645" s="2" t="s">
        <v>267</v>
      </c>
      <c r="G1645" s="2">
        <v>39.18</v>
      </c>
      <c r="H1645" s="2" t="str">
        <f t="shared" si="54"/>
        <v>W</v>
      </c>
      <c r="I1645" s="5">
        <v>9.09</v>
      </c>
      <c r="J1645" s="5">
        <v>122.4</v>
      </c>
      <c r="K1645" s="5"/>
      <c r="L1645" s="5">
        <v>3.8</v>
      </c>
      <c r="M1645" s="2" t="s">
        <v>571</v>
      </c>
      <c r="N1645" s="5">
        <v>27.3</v>
      </c>
      <c r="O1645" s="5">
        <v>15.3</v>
      </c>
      <c r="P1645" s="5">
        <v>4.07</v>
      </c>
      <c r="Q1645" s="2" t="s">
        <v>18</v>
      </c>
      <c r="R1645" s="5">
        <f>P1645*L1645</f>
        <v>15.466000000000001</v>
      </c>
      <c r="S1645" s="5">
        <f>(R1645/J1645)*100</f>
        <v>12.63562091503268</v>
      </c>
      <c r="W1645" s="6" t="s">
        <v>2047</v>
      </c>
    </row>
    <row r="1646" spans="1:23" x14ac:dyDescent="0.15">
      <c r="A1646" s="2" t="s">
        <v>221</v>
      </c>
      <c r="B1646" s="2" t="s">
        <v>3930</v>
      </c>
      <c r="C1646" s="2" t="s">
        <v>1010</v>
      </c>
      <c r="D1646" s="2" t="s">
        <v>510</v>
      </c>
      <c r="E1646" s="1"/>
      <c r="F1646" s="2" t="s">
        <v>266</v>
      </c>
      <c r="G1646" s="2">
        <v>39.5</v>
      </c>
      <c r="H1646" s="2" t="str">
        <f t="shared" si="54"/>
        <v>W</v>
      </c>
      <c r="I1646" s="5">
        <v>10.47</v>
      </c>
      <c r="J1646" s="5">
        <v>187.3</v>
      </c>
      <c r="K1646" s="5"/>
      <c r="L1646" s="5">
        <v>6.7</v>
      </c>
      <c r="M1646" s="2" t="s">
        <v>571</v>
      </c>
      <c r="N1646" s="5">
        <v>26.8</v>
      </c>
      <c r="O1646" s="5">
        <v>15.4</v>
      </c>
      <c r="P1646" s="5">
        <v>3.95</v>
      </c>
      <c r="Q1646" s="2" t="s">
        <v>18</v>
      </c>
      <c r="R1646" s="5">
        <f>P1646*L1646</f>
        <v>26.465000000000003</v>
      </c>
      <c r="S1646" s="5">
        <f>(R1646/J1646)*100</f>
        <v>14.129738387613456</v>
      </c>
      <c r="W1646" s="6" t="s">
        <v>2047</v>
      </c>
    </row>
    <row r="1647" spans="1:23" x14ac:dyDescent="0.15">
      <c r="A1647" s="1" t="s">
        <v>221</v>
      </c>
      <c r="B1647" s="2" t="s">
        <v>3930</v>
      </c>
      <c r="C1647" s="1" t="s">
        <v>1010</v>
      </c>
      <c r="D1647" s="1" t="s">
        <v>510</v>
      </c>
      <c r="E1647" s="1"/>
      <c r="F1647" s="1" t="s">
        <v>523</v>
      </c>
      <c r="G1647" s="1">
        <v>36.35</v>
      </c>
      <c r="H1647" s="1" t="s">
        <v>3887</v>
      </c>
      <c r="I1647" s="8">
        <v>8.8568999999999996</v>
      </c>
      <c r="J1647" s="8">
        <v>116.57</v>
      </c>
      <c r="K1647" s="8">
        <v>6</v>
      </c>
      <c r="L1647" s="8">
        <v>3.698</v>
      </c>
      <c r="M1647" s="8" t="s">
        <v>571</v>
      </c>
      <c r="N1647" s="8"/>
      <c r="O1647" s="8"/>
      <c r="P1647" s="8"/>
      <c r="Q1647" s="1"/>
      <c r="R1647" s="8"/>
      <c r="S1647" s="8"/>
      <c r="T1647" s="1"/>
      <c r="U1647" s="1"/>
      <c r="V1647" s="1"/>
      <c r="W1647" s="6" t="s">
        <v>3903</v>
      </c>
    </row>
    <row r="1648" spans="1:23" x14ac:dyDescent="0.15">
      <c r="A1648" s="2" t="s">
        <v>221</v>
      </c>
      <c r="B1648" s="2" t="s">
        <v>3930</v>
      </c>
      <c r="C1648" s="2" t="s">
        <v>1010</v>
      </c>
      <c r="D1648" s="2" t="s">
        <v>510</v>
      </c>
      <c r="E1648" s="1"/>
      <c r="F1648" s="2" t="s">
        <v>123</v>
      </c>
      <c r="G1648" s="2">
        <v>33.47</v>
      </c>
      <c r="H1648" s="2" t="str">
        <f t="shared" ref="H1648:H1679" si="55">IF(G1648="captive","C","W")</f>
        <v>W</v>
      </c>
      <c r="I1648" s="5"/>
      <c r="J1648" s="5"/>
      <c r="K1648" s="5"/>
      <c r="L1648" s="5">
        <v>2</v>
      </c>
      <c r="M1648" s="2" t="s">
        <v>571</v>
      </c>
      <c r="N1648" s="5">
        <v>24.1</v>
      </c>
      <c r="O1648" s="5">
        <v>15.25</v>
      </c>
      <c r="P1648" s="5">
        <v>3.55</v>
      </c>
      <c r="Q1648" s="2" t="s">
        <v>18</v>
      </c>
      <c r="R1648" s="5">
        <v>7.1</v>
      </c>
      <c r="S1648" s="5"/>
      <c r="W1648" s="6" t="s">
        <v>3043</v>
      </c>
    </row>
    <row r="1649" spans="1:58" x14ac:dyDescent="0.15">
      <c r="A1649" s="2" t="s">
        <v>221</v>
      </c>
      <c r="B1649" s="2" t="s">
        <v>3930</v>
      </c>
      <c r="C1649" s="2" t="s">
        <v>1010</v>
      </c>
      <c r="D1649" s="2" t="s">
        <v>510</v>
      </c>
      <c r="E1649" s="1"/>
      <c r="F1649" s="2" t="s">
        <v>126</v>
      </c>
      <c r="G1649" s="2">
        <v>33</v>
      </c>
      <c r="H1649" s="2" t="str">
        <f t="shared" si="55"/>
        <v>W</v>
      </c>
      <c r="I1649" s="5">
        <v>10.85</v>
      </c>
      <c r="J1649" s="5">
        <v>181</v>
      </c>
      <c r="K1649" s="5"/>
      <c r="L1649" s="5">
        <v>4.5</v>
      </c>
      <c r="M1649" s="2" t="s">
        <v>571</v>
      </c>
      <c r="N1649" s="5">
        <v>27.06</v>
      </c>
      <c r="O1649" s="5">
        <v>15.47</v>
      </c>
      <c r="P1649" s="5">
        <v>4.04</v>
      </c>
      <c r="Q1649" s="2" t="s">
        <v>18</v>
      </c>
      <c r="R1649" s="5">
        <v>18.399999999999999</v>
      </c>
      <c r="S1649" s="5">
        <f>0.111*100</f>
        <v>11.1</v>
      </c>
      <c r="W1649" s="6" t="s">
        <v>1783</v>
      </c>
    </row>
    <row r="1650" spans="1:58" s="1" customFormat="1" x14ac:dyDescent="0.15">
      <c r="A1650" s="2" t="s">
        <v>221</v>
      </c>
      <c r="B1650" s="2" t="s">
        <v>3930</v>
      </c>
      <c r="C1650" s="2" t="s">
        <v>1010</v>
      </c>
      <c r="D1650" s="2" t="s">
        <v>510</v>
      </c>
      <c r="F1650" s="2" t="s">
        <v>2765</v>
      </c>
      <c r="G1650" s="2">
        <v>36.71</v>
      </c>
      <c r="H1650" s="2" t="str">
        <f t="shared" si="55"/>
        <v>W</v>
      </c>
      <c r="I1650" s="5">
        <v>9.7100000000000009</v>
      </c>
      <c r="J1650" s="5">
        <v>141.1</v>
      </c>
      <c r="K1650" s="5"/>
      <c r="L1650" s="5">
        <v>3.05</v>
      </c>
      <c r="M1650" s="2" t="s">
        <v>571</v>
      </c>
      <c r="N1650" s="5"/>
      <c r="O1650" s="5"/>
      <c r="P1650" s="5">
        <v>3.21</v>
      </c>
      <c r="Q1650" s="2" t="s">
        <v>18</v>
      </c>
      <c r="R1650" s="5">
        <v>9.7799999999999994</v>
      </c>
      <c r="S1650" s="5">
        <f>(R1650/J1650)*100</f>
        <v>6.9312544294826361</v>
      </c>
      <c r="T1650" s="2">
        <v>2.7</v>
      </c>
      <c r="U1650" s="2" t="str">
        <f>IF(T1650&lt;=1, "1",IF(AND(T1650&gt;1,T1650&lt;4), "2-3", "+4"))</f>
        <v>2-3</v>
      </c>
      <c r="V1650" s="5">
        <f>S1650*T1650</f>
        <v>18.714386959603118</v>
      </c>
      <c r="W1650" s="6" t="s">
        <v>3044</v>
      </c>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c r="AW1650" s="2"/>
      <c r="AX1650" s="2"/>
      <c r="AY1650" s="2"/>
      <c r="AZ1650" s="2"/>
      <c r="BA1650" s="2"/>
      <c r="BB1650" s="2"/>
      <c r="BC1650" s="2"/>
      <c r="BD1650" s="2"/>
      <c r="BE1650" s="2"/>
      <c r="BF1650" s="2"/>
    </row>
    <row r="1651" spans="1:58" x14ac:dyDescent="0.15">
      <c r="A1651" s="2" t="s">
        <v>221</v>
      </c>
      <c r="B1651" s="2" t="s">
        <v>3930</v>
      </c>
      <c r="C1651" s="2" t="s">
        <v>1010</v>
      </c>
      <c r="D1651" s="2" t="s">
        <v>510</v>
      </c>
      <c r="E1651" s="1"/>
      <c r="F1651" s="2" t="s">
        <v>2766</v>
      </c>
      <c r="G1651" s="2">
        <v>36.71</v>
      </c>
      <c r="H1651" s="2" t="str">
        <f t="shared" si="55"/>
        <v>W</v>
      </c>
      <c r="I1651" s="5">
        <v>10.36</v>
      </c>
      <c r="J1651" s="5">
        <v>177.1</v>
      </c>
      <c r="K1651" s="5"/>
      <c r="L1651" s="5">
        <v>3.25</v>
      </c>
      <c r="M1651" s="2" t="s">
        <v>571</v>
      </c>
      <c r="N1651" s="5"/>
      <c r="O1651" s="5"/>
      <c r="P1651" s="5">
        <v>3.54</v>
      </c>
      <c r="Q1651" s="2" t="s">
        <v>18</v>
      </c>
      <c r="R1651" s="5">
        <v>11.53</v>
      </c>
      <c r="S1651" s="5">
        <f>(R1651/J1651)*100</f>
        <v>6.5104460756634674</v>
      </c>
      <c r="T1651" s="2">
        <v>3</v>
      </c>
      <c r="U1651" s="2" t="str">
        <f>IF(T1651&lt;=1, "1",IF(AND(T1651&gt;1,T1651&lt;4), "2-3", "+4"))</f>
        <v>2-3</v>
      </c>
      <c r="V1651" s="5">
        <f>S1651*T1651</f>
        <v>19.531338226990403</v>
      </c>
      <c r="W1651" s="6" t="s">
        <v>3044</v>
      </c>
    </row>
    <row r="1652" spans="1:58" x14ac:dyDescent="0.15">
      <c r="A1652" s="2" t="s">
        <v>221</v>
      </c>
      <c r="B1652" s="2" t="s">
        <v>3930</v>
      </c>
      <c r="C1652" s="2" t="s">
        <v>1010</v>
      </c>
      <c r="D1652" s="2" t="s">
        <v>510</v>
      </c>
      <c r="E1652" s="1"/>
      <c r="F1652" s="2" t="s">
        <v>374</v>
      </c>
      <c r="G1652" s="2" t="s">
        <v>374</v>
      </c>
      <c r="H1652" s="2" t="str">
        <f t="shared" si="55"/>
        <v>C</v>
      </c>
      <c r="I1652" s="5"/>
      <c r="J1652" s="5"/>
      <c r="K1652" s="5"/>
      <c r="L1652" s="5">
        <v>4</v>
      </c>
      <c r="M1652" s="2" t="s">
        <v>571</v>
      </c>
      <c r="N1652" s="5"/>
      <c r="O1652" s="5"/>
      <c r="P1652" s="5"/>
      <c r="R1652" s="5"/>
      <c r="S1652" s="5"/>
      <c r="T1652" s="2">
        <v>1</v>
      </c>
      <c r="U1652" s="2" t="str">
        <f>IF(T1652&lt;=1, "1",IF(AND(T1652&gt;1,T1652&lt;4), "2-3", "+4"))</f>
        <v>1</v>
      </c>
      <c r="W1652" s="6" t="s">
        <v>2785</v>
      </c>
    </row>
    <row r="1653" spans="1:58" x14ac:dyDescent="0.15">
      <c r="A1653" s="2" t="s">
        <v>221</v>
      </c>
      <c r="B1653" s="2" t="s">
        <v>3930</v>
      </c>
      <c r="C1653" s="2" t="s">
        <v>1010</v>
      </c>
      <c r="D1653" s="2" t="s">
        <v>510</v>
      </c>
      <c r="E1653" s="1"/>
      <c r="F1653" s="2" t="s">
        <v>158</v>
      </c>
      <c r="G1653" s="2">
        <v>42.68</v>
      </c>
      <c r="H1653" s="2" t="str">
        <f t="shared" si="55"/>
        <v>W</v>
      </c>
      <c r="I1653" s="5"/>
      <c r="J1653" s="5"/>
      <c r="K1653" s="5"/>
      <c r="L1653" s="5"/>
      <c r="M1653" s="2" t="s">
        <v>571</v>
      </c>
      <c r="N1653" s="5">
        <v>26.9</v>
      </c>
      <c r="O1653" s="5">
        <v>15.8</v>
      </c>
      <c r="P1653" s="5">
        <f xml:space="preserve"> 0.186*N1653 + 0.485*O1653 - 8.426</f>
        <v>4.2403999999999993</v>
      </c>
      <c r="Q1653" s="2" t="s">
        <v>376</v>
      </c>
      <c r="R1653" s="5"/>
      <c r="S1653" s="5"/>
      <c r="W1653" s="6" t="s">
        <v>3045</v>
      </c>
    </row>
    <row r="1654" spans="1:58" x14ac:dyDescent="0.15">
      <c r="A1654" s="2" t="s">
        <v>221</v>
      </c>
      <c r="B1654" s="2" t="s">
        <v>3930</v>
      </c>
      <c r="C1654" s="2" t="s">
        <v>1010</v>
      </c>
      <c r="D1654" s="2" t="s">
        <v>510</v>
      </c>
      <c r="E1654" s="1"/>
      <c r="F1654" s="2" t="s">
        <v>158</v>
      </c>
      <c r="G1654" s="2">
        <v>42.68</v>
      </c>
      <c r="H1654" s="2" t="str">
        <f t="shared" si="55"/>
        <v>W</v>
      </c>
      <c r="I1654" s="5"/>
      <c r="J1654" s="5"/>
      <c r="K1654" s="7"/>
      <c r="L1654" s="5"/>
      <c r="M1654" s="2" t="s">
        <v>571</v>
      </c>
      <c r="N1654" s="5">
        <v>26.7</v>
      </c>
      <c r="O1654" s="5">
        <v>15.1</v>
      </c>
      <c r="P1654" s="5">
        <f xml:space="preserve"> 0.186*N1654 + 0.485*O1654 - 8.426</f>
        <v>3.8636999999999997</v>
      </c>
      <c r="Q1654" s="2" t="s">
        <v>376</v>
      </c>
      <c r="R1654" s="5"/>
      <c r="S1654" s="5"/>
      <c r="T1654" s="9"/>
      <c r="U1654" s="9"/>
      <c r="W1654" s="6" t="s">
        <v>2969</v>
      </c>
    </row>
    <row r="1655" spans="1:58" x14ac:dyDescent="0.15">
      <c r="A1655" s="2" t="s">
        <v>221</v>
      </c>
      <c r="B1655" s="2" t="s">
        <v>3930</v>
      </c>
      <c r="C1655" s="2" t="s">
        <v>1010</v>
      </c>
      <c r="D1655" s="2" t="s">
        <v>510</v>
      </c>
      <c r="E1655" s="1"/>
      <c r="F1655" s="2" t="s">
        <v>158</v>
      </c>
      <c r="G1655" s="2">
        <v>43.91</v>
      </c>
      <c r="H1655" s="2" t="str">
        <f t="shared" si="55"/>
        <v>W</v>
      </c>
      <c r="I1655" s="5"/>
      <c r="J1655" s="5"/>
      <c r="K1655" s="7"/>
      <c r="L1655" s="5">
        <v>3.33</v>
      </c>
      <c r="M1655" s="2" t="s">
        <v>571</v>
      </c>
      <c r="N1655" s="5">
        <v>26.06</v>
      </c>
      <c r="O1655" s="5">
        <v>14.69</v>
      </c>
      <c r="P1655" s="5">
        <f xml:space="preserve"> 0.186*N1655 + 0.485*O1655 - 8.426</f>
        <v>3.5458099999999995</v>
      </c>
      <c r="Q1655" s="2" t="s">
        <v>376</v>
      </c>
      <c r="R1655" s="5">
        <v>11.81</v>
      </c>
      <c r="S1655" s="5"/>
      <c r="T1655" s="9"/>
      <c r="U1655" s="9"/>
      <c r="W1655" s="6" t="s">
        <v>3046</v>
      </c>
    </row>
    <row r="1656" spans="1:58" x14ac:dyDescent="0.15">
      <c r="A1656" s="2" t="s">
        <v>221</v>
      </c>
      <c r="B1656" s="2" t="s">
        <v>3930</v>
      </c>
      <c r="C1656" s="2" t="s">
        <v>1010</v>
      </c>
      <c r="D1656" s="2" t="s">
        <v>510</v>
      </c>
      <c r="E1656" s="1"/>
      <c r="F1656" s="2" t="s">
        <v>158</v>
      </c>
      <c r="G1656" s="2">
        <v>43.91</v>
      </c>
      <c r="H1656" s="2" t="str">
        <f t="shared" si="55"/>
        <v>W</v>
      </c>
      <c r="I1656" s="5">
        <v>9.1199999999999992</v>
      </c>
      <c r="J1656" s="5">
        <v>124</v>
      </c>
      <c r="K1656" s="7"/>
      <c r="L1656" s="5">
        <v>3.5</v>
      </c>
      <c r="M1656" s="2" t="s">
        <v>571</v>
      </c>
      <c r="N1656" s="5">
        <v>26.24</v>
      </c>
      <c r="O1656" s="5">
        <v>15.37</v>
      </c>
      <c r="P1656" s="5">
        <v>4.0199999999999996</v>
      </c>
      <c r="Q1656" s="2" t="s">
        <v>18</v>
      </c>
      <c r="R1656" s="5">
        <v>14.07</v>
      </c>
      <c r="S1656" s="5">
        <v>11.35</v>
      </c>
      <c r="T1656" s="9"/>
      <c r="U1656" s="9"/>
      <c r="W1656" s="6" t="s">
        <v>3047</v>
      </c>
    </row>
    <row r="1657" spans="1:58" x14ac:dyDescent="0.15">
      <c r="A1657" s="2" t="s">
        <v>221</v>
      </c>
      <c r="B1657" s="2" t="s">
        <v>3930</v>
      </c>
      <c r="C1657" s="2" t="s">
        <v>1010</v>
      </c>
      <c r="D1657" s="2" t="s">
        <v>510</v>
      </c>
      <c r="E1657" s="1"/>
      <c r="F1657" s="2" t="s">
        <v>2265</v>
      </c>
      <c r="G1657" s="2">
        <v>45.13</v>
      </c>
      <c r="H1657" s="2" t="str">
        <f t="shared" si="55"/>
        <v>W</v>
      </c>
      <c r="I1657" s="5">
        <v>9.8699999999999992</v>
      </c>
      <c r="J1657" s="5">
        <v>171.37</v>
      </c>
      <c r="K1657" s="5"/>
      <c r="L1657" s="5"/>
      <c r="M1657" s="2" t="s">
        <v>571</v>
      </c>
      <c r="N1657" s="5"/>
      <c r="O1657" s="5"/>
      <c r="P1657" s="5"/>
      <c r="R1657" s="5"/>
      <c r="S1657" s="5"/>
      <c r="W1657" s="6" t="s">
        <v>3317</v>
      </c>
    </row>
    <row r="1658" spans="1:58" x14ac:dyDescent="0.15">
      <c r="A1658" s="2" t="s">
        <v>221</v>
      </c>
      <c r="B1658" s="2" t="s">
        <v>3930</v>
      </c>
      <c r="C1658" s="2" t="s">
        <v>1010</v>
      </c>
      <c r="D1658" s="2" t="s">
        <v>510</v>
      </c>
      <c r="E1658" s="1"/>
      <c r="F1658" s="2" t="s">
        <v>120</v>
      </c>
      <c r="G1658" s="2">
        <v>40.340000000000003</v>
      </c>
      <c r="H1658" s="2" t="str">
        <f t="shared" si="55"/>
        <v>W</v>
      </c>
      <c r="I1658" s="5">
        <v>8.5</v>
      </c>
      <c r="J1658" s="5">
        <v>92.04</v>
      </c>
      <c r="K1658" s="7"/>
      <c r="L1658" s="5">
        <v>3.25</v>
      </c>
      <c r="M1658" s="2" t="s">
        <v>571</v>
      </c>
      <c r="N1658" s="5">
        <v>26.2</v>
      </c>
      <c r="O1658" s="5">
        <v>14.6</v>
      </c>
      <c r="P1658" s="5">
        <f xml:space="preserve"> 0.186*N1658 + 0.485*O1658 - 8.426</f>
        <v>3.5282</v>
      </c>
      <c r="Q1658" s="2" t="s">
        <v>376</v>
      </c>
      <c r="R1658" s="5">
        <v>11.47</v>
      </c>
      <c r="S1658" s="5">
        <v>12.46</v>
      </c>
      <c r="T1658" s="9"/>
      <c r="U1658" s="9"/>
      <c r="W1658" s="6" t="s">
        <v>3048</v>
      </c>
      <c r="BA1658" s="1"/>
      <c r="BB1658" s="1"/>
      <c r="BC1658" s="1"/>
      <c r="BD1658" s="1"/>
      <c r="BE1658" s="1"/>
      <c r="BF1658" s="1"/>
    </row>
    <row r="1659" spans="1:58" x14ac:dyDescent="0.15">
      <c r="A1659" s="2" t="s">
        <v>221</v>
      </c>
      <c r="B1659" s="2" t="s">
        <v>3930</v>
      </c>
      <c r="C1659" s="2" t="s">
        <v>1010</v>
      </c>
      <c r="D1659" s="2" t="s">
        <v>510</v>
      </c>
      <c r="E1659" s="1"/>
      <c r="F1659" s="2" t="s">
        <v>107</v>
      </c>
      <c r="G1659" s="2">
        <v>38.65</v>
      </c>
      <c r="H1659" s="2" t="str">
        <f t="shared" si="55"/>
        <v>W</v>
      </c>
      <c r="I1659" s="5"/>
      <c r="J1659" s="5"/>
      <c r="K1659" s="7"/>
      <c r="L1659" s="5">
        <v>3.4</v>
      </c>
      <c r="M1659" s="2" t="s">
        <v>571</v>
      </c>
      <c r="N1659" s="5">
        <v>27</v>
      </c>
      <c r="O1659" s="5">
        <v>15</v>
      </c>
      <c r="P1659" s="5">
        <f xml:space="preserve"> 0.186*N1659 + 0.485*O1659 - 8.426</f>
        <v>3.8710000000000004</v>
      </c>
      <c r="Q1659" s="2" t="s">
        <v>376</v>
      </c>
      <c r="R1659" s="5">
        <v>13.16</v>
      </c>
      <c r="S1659" s="5"/>
      <c r="T1659" s="9"/>
      <c r="U1659" s="9"/>
      <c r="W1659" s="6" t="s">
        <v>3049</v>
      </c>
      <c r="AU1659" s="1"/>
      <c r="AV1659" s="1"/>
      <c r="AW1659" s="1"/>
      <c r="AX1659" s="1"/>
      <c r="AY1659" s="1"/>
      <c r="AZ1659" s="1"/>
    </row>
    <row r="1660" spans="1:58" x14ac:dyDescent="0.15">
      <c r="A1660" s="2" t="s">
        <v>221</v>
      </c>
      <c r="B1660" s="2" t="s">
        <v>3930</v>
      </c>
      <c r="C1660" s="2" t="s">
        <v>1010</v>
      </c>
      <c r="D1660" s="2" t="s">
        <v>510</v>
      </c>
      <c r="E1660" s="1"/>
      <c r="F1660" s="2" t="s">
        <v>175</v>
      </c>
      <c r="G1660" s="2">
        <v>34.22</v>
      </c>
      <c r="H1660" s="2" t="str">
        <f t="shared" si="55"/>
        <v>W</v>
      </c>
      <c r="I1660" s="5">
        <v>12.65</v>
      </c>
      <c r="J1660" s="5">
        <v>322.76</v>
      </c>
      <c r="K1660" s="5"/>
      <c r="L1660" s="5">
        <v>10.5</v>
      </c>
      <c r="M1660" s="2" t="s">
        <v>571</v>
      </c>
      <c r="N1660" s="5">
        <v>25.358000000000001</v>
      </c>
      <c r="O1660" s="5">
        <v>14.97</v>
      </c>
      <c r="P1660" s="5">
        <v>3.74</v>
      </c>
      <c r="Q1660" s="2" t="s">
        <v>18</v>
      </c>
      <c r="R1660" s="5">
        <v>39.26</v>
      </c>
      <c r="S1660" s="5">
        <v>12.17</v>
      </c>
      <c r="W1660" s="6" t="s">
        <v>3438</v>
      </c>
      <c r="AO1660" s="1"/>
      <c r="AP1660" s="1"/>
      <c r="AQ1660" s="1"/>
      <c r="AR1660" s="1"/>
      <c r="AS1660" s="1"/>
      <c r="AT1660" s="1"/>
    </row>
    <row r="1661" spans="1:58" x14ac:dyDescent="0.15">
      <c r="A1661" s="2" t="s">
        <v>221</v>
      </c>
      <c r="B1661" s="2" t="s">
        <v>3930</v>
      </c>
      <c r="C1661" s="2" t="s">
        <v>1010</v>
      </c>
      <c r="D1661" s="2" t="s">
        <v>510</v>
      </c>
      <c r="E1661" s="1"/>
      <c r="F1661" s="2" t="s">
        <v>905</v>
      </c>
      <c r="G1661" s="2">
        <v>39.47</v>
      </c>
      <c r="H1661" s="2" t="str">
        <f t="shared" si="55"/>
        <v>W</v>
      </c>
      <c r="I1661" s="5">
        <v>11.34</v>
      </c>
      <c r="J1661" s="5">
        <v>307.55</v>
      </c>
      <c r="K1661" s="5"/>
      <c r="L1661" s="5">
        <v>10.63</v>
      </c>
      <c r="M1661" s="2" t="s">
        <v>571</v>
      </c>
      <c r="N1661" s="5">
        <v>27.39</v>
      </c>
      <c r="O1661" s="5">
        <v>15.88</v>
      </c>
      <c r="P1661" s="5">
        <v>4.3869999999999996</v>
      </c>
      <c r="Q1661" s="2" t="s">
        <v>18</v>
      </c>
      <c r="R1661" s="5">
        <v>45.65</v>
      </c>
      <c r="S1661" s="5">
        <v>14.9</v>
      </c>
      <c r="W1661" s="6" t="s">
        <v>3438</v>
      </c>
    </row>
    <row r="1662" spans="1:58" x14ac:dyDescent="0.15">
      <c r="A1662" s="2" t="s">
        <v>221</v>
      </c>
      <c r="B1662" s="2" t="s">
        <v>3930</v>
      </c>
      <c r="C1662" s="2" t="s">
        <v>1010</v>
      </c>
      <c r="D1662" s="2" t="s">
        <v>510</v>
      </c>
      <c r="E1662" s="1"/>
      <c r="F1662" s="2" t="s">
        <v>69</v>
      </c>
      <c r="G1662" s="2">
        <v>29.5</v>
      </c>
      <c r="H1662" s="2" t="str">
        <f t="shared" si="55"/>
        <v>W</v>
      </c>
      <c r="I1662" s="5">
        <v>7.66</v>
      </c>
      <c r="J1662" s="5">
        <v>77.569999999999993</v>
      </c>
      <c r="K1662" s="5"/>
      <c r="L1662" s="5">
        <v>2.38</v>
      </c>
      <c r="M1662" s="2" t="s">
        <v>571</v>
      </c>
      <c r="N1662" s="5"/>
      <c r="O1662" s="5"/>
      <c r="P1662" s="5"/>
      <c r="R1662" s="5"/>
      <c r="S1662" s="5"/>
      <c r="T1662" s="2" t="s">
        <v>372</v>
      </c>
      <c r="U1662" s="40" t="s">
        <v>395</v>
      </c>
      <c r="W1662" s="6" t="s">
        <v>3050</v>
      </c>
      <c r="AH1662" s="1"/>
      <c r="AI1662" s="1"/>
      <c r="AJ1662" s="1"/>
      <c r="AK1662" s="1"/>
      <c r="AL1662" s="1"/>
      <c r="AM1662" s="1"/>
      <c r="AN1662" s="1"/>
    </row>
    <row r="1663" spans="1:58" x14ac:dyDescent="0.15">
      <c r="A1663" s="2" t="s">
        <v>221</v>
      </c>
      <c r="B1663" s="2" t="s">
        <v>3930</v>
      </c>
      <c r="C1663" s="2" t="s">
        <v>1010</v>
      </c>
      <c r="D1663" s="2" t="s">
        <v>510</v>
      </c>
      <c r="E1663" s="1"/>
      <c r="F1663" s="2" t="s">
        <v>126</v>
      </c>
      <c r="G1663" s="2">
        <v>33</v>
      </c>
      <c r="H1663" s="2" t="str">
        <f t="shared" si="55"/>
        <v>W</v>
      </c>
      <c r="I1663" s="5">
        <f>8.28/0.7793</f>
        <v>10.624919799820351</v>
      </c>
      <c r="J1663" s="5">
        <f xml:space="preserve"> 0.2473*I1663^2.766</f>
        <v>170.62430423147021</v>
      </c>
      <c r="K1663" s="5"/>
      <c r="L1663" s="5">
        <v>5.6</v>
      </c>
      <c r="M1663" s="2" t="s">
        <v>571</v>
      </c>
      <c r="N1663" s="5"/>
      <c r="O1663" s="5"/>
      <c r="P1663" s="5"/>
      <c r="R1663" s="5"/>
      <c r="S1663" s="5"/>
      <c r="W1663" s="6" t="s">
        <v>1983</v>
      </c>
    </row>
    <row r="1664" spans="1:58" x14ac:dyDescent="0.15">
      <c r="A1664" s="2" t="s">
        <v>221</v>
      </c>
      <c r="B1664" s="2" t="s">
        <v>3930</v>
      </c>
      <c r="C1664" s="2" t="s">
        <v>1010</v>
      </c>
      <c r="D1664" s="2" t="s">
        <v>510</v>
      </c>
      <c r="E1664" s="1"/>
      <c r="F1664" s="2" t="s">
        <v>884</v>
      </c>
      <c r="G1664" s="2">
        <v>43.77</v>
      </c>
      <c r="H1664" s="2" t="str">
        <f t="shared" si="55"/>
        <v>W</v>
      </c>
      <c r="I1664" s="5">
        <v>10.62</v>
      </c>
      <c r="J1664" s="5">
        <f xml:space="preserve"> 0.2473*I1664^2.766</f>
        <v>170.4058616718381</v>
      </c>
      <c r="K1664" s="5"/>
      <c r="L1664" s="5">
        <v>6.33</v>
      </c>
      <c r="M1664" s="2" t="s">
        <v>571</v>
      </c>
      <c r="N1664" s="5">
        <v>26.47</v>
      </c>
      <c r="O1664" s="5">
        <v>15.85</v>
      </c>
      <c r="P1664" s="5">
        <f xml:space="preserve"> (0.186*N1664) +( 0.485*O1664)- 8.426</f>
        <v>4.1846699999999988</v>
      </c>
      <c r="Q1664" s="2" t="s">
        <v>376</v>
      </c>
      <c r="R1664" s="5">
        <f>P1664*L1664</f>
        <v>26.488961099999994</v>
      </c>
      <c r="S1664" s="5">
        <f>(R1664/J1664)*100</f>
        <v>15.544630237551068</v>
      </c>
      <c r="W1664" s="6" t="s">
        <v>2227</v>
      </c>
    </row>
    <row r="1665" spans="1:33" x14ac:dyDescent="0.15">
      <c r="A1665" s="2" t="s">
        <v>221</v>
      </c>
      <c r="B1665" s="2" t="s">
        <v>3930</v>
      </c>
      <c r="C1665" s="2" t="s">
        <v>1010</v>
      </c>
      <c r="D1665" s="2" t="s">
        <v>510</v>
      </c>
      <c r="E1665" s="1"/>
      <c r="F1665" s="2" t="s">
        <v>69</v>
      </c>
      <c r="G1665" s="2">
        <v>28.47</v>
      </c>
      <c r="H1665" s="2" t="str">
        <f t="shared" si="55"/>
        <v>W</v>
      </c>
      <c r="I1665" s="5">
        <v>6.76</v>
      </c>
      <c r="J1665" s="5">
        <v>53.6</v>
      </c>
      <c r="K1665" s="5"/>
      <c r="L1665" s="5">
        <v>1.74</v>
      </c>
      <c r="M1665" s="2" t="s">
        <v>571</v>
      </c>
      <c r="N1665" s="5">
        <v>23.6</v>
      </c>
      <c r="O1665" s="5">
        <v>13.5</v>
      </c>
      <c r="P1665" s="5">
        <f xml:space="preserve"> 0.186*N1665 + 0.485*O1665 - 8.426</f>
        <v>2.5111000000000008</v>
      </c>
      <c r="Q1665" s="2" t="s">
        <v>376</v>
      </c>
      <c r="R1665" s="5">
        <v>4.37</v>
      </c>
      <c r="S1665" s="5">
        <v>8.15</v>
      </c>
      <c r="T1665" s="2" t="s">
        <v>634</v>
      </c>
      <c r="U1665" s="40" t="s">
        <v>4047</v>
      </c>
      <c r="W1665" s="6" t="s">
        <v>3051</v>
      </c>
    </row>
    <row r="1666" spans="1:33" x14ac:dyDescent="0.15">
      <c r="A1666" s="2" t="s">
        <v>221</v>
      </c>
      <c r="B1666" s="2" t="s">
        <v>3930</v>
      </c>
      <c r="C1666" s="2" t="s">
        <v>1010</v>
      </c>
      <c r="D1666" s="2" t="s">
        <v>510</v>
      </c>
      <c r="E1666" s="1"/>
      <c r="F1666" s="2" t="s">
        <v>374</v>
      </c>
      <c r="G1666" s="2" t="s">
        <v>374</v>
      </c>
      <c r="H1666" s="2" t="str">
        <f t="shared" si="55"/>
        <v>C</v>
      </c>
      <c r="I1666" s="5">
        <v>10.130000000000001</v>
      </c>
      <c r="J1666" s="5">
        <v>168.33</v>
      </c>
      <c r="K1666" s="5"/>
      <c r="L1666" s="7">
        <f>MEDIAN(2,4)</f>
        <v>3</v>
      </c>
      <c r="M1666" s="2" t="s">
        <v>571</v>
      </c>
      <c r="N1666" s="5"/>
      <c r="O1666" s="5"/>
      <c r="P1666" s="5"/>
      <c r="R1666" s="5"/>
      <c r="S1666" s="5"/>
      <c r="T1666" s="2" t="s">
        <v>399</v>
      </c>
      <c r="W1666" s="6" t="s">
        <v>3323</v>
      </c>
      <c r="AC1666" s="1"/>
      <c r="AD1666" s="1"/>
      <c r="AE1666" s="1"/>
      <c r="AF1666" s="1"/>
      <c r="AG1666" s="1"/>
    </row>
    <row r="1667" spans="1:33" x14ac:dyDescent="0.15">
      <c r="A1667" s="2" t="s">
        <v>221</v>
      </c>
      <c r="B1667" s="2" t="s">
        <v>3930</v>
      </c>
      <c r="C1667" s="2" t="s">
        <v>1010</v>
      </c>
      <c r="D1667" s="2" t="s">
        <v>510</v>
      </c>
      <c r="E1667" s="1"/>
      <c r="F1667" s="2" t="s">
        <v>107</v>
      </c>
      <c r="G1667" s="2">
        <v>37.270000000000003</v>
      </c>
      <c r="H1667" s="2" t="str">
        <f t="shared" si="55"/>
        <v>W</v>
      </c>
      <c r="I1667" s="5">
        <v>9.4499999999999993</v>
      </c>
      <c r="J1667" s="5">
        <f xml:space="preserve"> 0.2473*I1667^2.766</f>
        <v>123.38674250250811</v>
      </c>
      <c r="K1667" s="5"/>
      <c r="L1667" s="5"/>
      <c r="M1667" s="2" t="s">
        <v>571</v>
      </c>
      <c r="N1667" s="5"/>
      <c r="O1667" s="5"/>
      <c r="P1667" s="5"/>
      <c r="R1667" s="5"/>
      <c r="S1667" s="5"/>
      <c r="W1667" s="6" t="s">
        <v>3052</v>
      </c>
    </row>
    <row r="1668" spans="1:33" x14ac:dyDescent="0.15">
      <c r="A1668" s="2" t="s">
        <v>221</v>
      </c>
      <c r="B1668" s="2" t="s">
        <v>3930</v>
      </c>
      <c r="C1668" s="2" t="s">
        <v>1010</v>
      </c>
      <c r="D1668" s="2" t="s">
        <v>510</v>
      </c>
      <c r="E1668" s="1"/>
      <c r="F1668" s="2" t="s">
        <v>88</v>
      </c>
      <c r="G1668" s="2">
        <v>29.65</v>
      </c>
      <c r="H1668" s="2" t="str">
        <f t="shared" si="55"/>
        <v>W</v>
      </c>
      <c r="I1668" s="5">
        <v>8.2899999999999991</v>
      </c>
      <c r="J1668" s="5">
        <v>85.94</v>
      </c>
      <c r="K1668" s="7"/>
      <c r="L1668" s="5">
        <v>3.2</v>
      </c>
      <c r="M1668" s="2" t="s">
        <v>571</v>
      </c>
      <c r="N1668" s="5">
        <v>24.33</v>
      </c>
      <c r="O1668" s="5">
        <v>14.51</v>
      </c>
      <c r="P1668" s="5">
        <v>3.4129999999999998</v>
      </c>
      <c r="Q1668" s="2" t="s">
        <v>376</v>
      </c>
      <c r="R1668" s="5">
        <v>10.92</v>
      </c>
      <c r="S1668" s="5">
        <v>12.71</v>
      </c>
      <c r="T1668" s="9">
        <f>MEDIAN(3,4)</f>
        <v>3.5</v>
      </c>
      <c r="U1668" s="2" t="str">
        <f>IF(T1668&lt;=1, "1",IF(AND(T1668&gt;1,T1668&lt;4), "2-3", "+4"))</f>
        <v>2-3</v>
      </c>
      <c r="V1668" s="5">
        <f>S1668*T1668</f>
        <v>44.484999999999999</v>
      </c>
      <c r="W1668" s="6" t="s">
        <v>1897</v>
      </c>
      <c r="Y1668" s="1"/>
      <c r="Z1668" s="1"/>
      <c r="AA1668" s="1"/>
      <c r="AB1668" s="1"/>
    </row>
    <row r="1669" spans="1:33" x14ac:dyDescent="0.15">
      <c r="A1669" s="2" t="s">
        <v>221</v>
      </c>
      <c r="B1669" s="2" t="s">
        <v>3930</v>
      </c>
      <c r="C1669" s="2" t="s">
        <v>1010</v>
      </c>
      <c r="D1669" s="2" t="s">
        <v>510</v>
      </c>
      <c r="E1669" s="1"/>
      <c r="F1669" s="2" t="s">
        <v>2267</v>
      </c>
      <c r="H1669" s="2" t="s">
        <v>3887</v>
      </c>
      <c r="I1669" s="5">
        <v>10.210000000000001</v>
      </c>
      <c r="J1669" s="5">
        <f xml:space="preserve"> 0.2473*I1669^2.766</f>
        <v>152.82321046500704</v>
      </c>
      <c r="K1669" s="5"/>
      <c r="L1669" s="5">
        <v>6.29</v>
      </c>
      <c r="M1669" s="2" t="s">
        <v>571</v>
      </c>
      <c r="N1669" s="5"/>
      <c r="O1669" s="5"/>
      <c r="P1669" s="5"/>
      <c r="R1669" s="5"/>
      <c r="S1669" s="5"/>
      <c r="V1669" s="5"/>
      <c r="W1669" s="6" t="s">
        <v>2449</v>
      </c>
    </row>
    <row r="1670" spans="1:33" x14ac:dyDescent="0.15">
      <c r="A1670" s="2" t="s">
        <v>221</v>
      </c>
      <c r="B1670" s="2" t="s">
        <v>3930</v>
      </c>
      <c r="C1670" s="2" t="s">
        <v>1010</v>
      </c>
      <c r="D1670" s="2" t="s">
        <v>510</v>
      </c>
      <c r="E1670" s="1"/>
      <c r="F1670" s="2" t="s">
        <v>229</v>
      </c>
      <c r="G1670" s="2">
        <v>30.33</v>
      </c>
      <c r="H1670" s="2" t="str">
        <f t="shared" si="55"/>
        <v>W</v>
      </c>
      <c r="I1670" s="5">
        <v>8.2899999999999991</v>
      </c>
      <c r="J1670" s="5">
        <v>85.9</v>
      </c>
      <c r="K1670" s="5"/>
      <c r="L1670" s="5">
        <v>2.25</v>
      </c>
      <c r="M1670" s="2" t="s">
        <v>571</v>
      </c>
      <c r="N1670" s="5">
        <v>24.58</v>
      </c>
      <c r="O1670" s="5">
        <v>15</v>
      </c>
      <c r="P1670" s="5">
        <v>3.76</v>
      </c>
      <c r="Q1670" s="2" t="s">
        <v>376</v>
      </c>
      <c r="R1670" s="5">
        <v>8.4580000000000002</v>
      </c>
      <c r="S1670" s="5">
        <v>9.8460000000000001</v>
      </c>
      <c r="V1670" s="5"/>
      <c r="W1670" s="6" t="s">
        <v>3053</v>
      </c>
    </row>
    <row r="1671" spans="1:33" x14ac:dyDescent="0.15">
      <c r="A1671" s="2" t="s">
        <v>221</v>
      </c>
      <c r="B1671" s="2" t="s">
        <v>3930</v>
      </c>
      <c r="C1671" s="2" t="s">
        <v>1010</v>
      </c>
      <c r="D1671" s="2" t="s">
        <v>510</v>
      </c>
      <c r="E1671" s="1"/>
      <c r="F1671" s="2" t="s">
        <v>2265</v>
      </c>
      <c r="G1671" s="2">
        <v>44.72</v>
      </c>
      <c r="H1671" s="2" t="str">
        <f t="shared" si="55"/>
        <v>W</v>
      </c>
      <c r="I1671" s="5"/>
      <c r="J1671" s="5"/>
      <c r="K1671" s="5"/>
      <c r="L1671" s="5">
        <v>4</v>
      </c>
      <c r="M1671" s="2" t="s">
        <v>571</v>
      </c>
      <c r="N1671" s="5"/>
      <c r="O1671" s="5"/>
      <c r="P1671" s="5"/>
      <c r="R1671" s="5"/>
      <c r="S1671" s="5"/>
      <c r="V1671" s="5"/>
      <c r="W1671" s="6" t="s">
        <v>3054</v>
      </c>
    </row>
    <row r="1672" spans="1:33" x14ac:dyDescent="0.15">
      <c r="A1672" s="2" t="s">
        <v>221</v>
      </c>
      <c r="B1672" s="2" t="s">
        <v>3930</v>
      </c>
      <c r="C1672" s="2" t="s">
        <v>1010</v>
      </c>
      <c r="D1672" s="2" t="s">
        <v>510</v>
      </c>
      <c r="E1672" s="1"/>
      <c r="F1672" s="2" t="s">
        <v>1917</v>
      </c>
      <c r="G1672" s="2">
        <v>34.200000000000003</v>
      </c>
      <c r="H1672" s="2" t="str">
        <f t="shared" si="55"/>
        <v>W</v>
      </c>
      <c r="I1672" s="5"/>
      <c r="J1672" s="5"/>
      <c r="K1672" s="7">
        <f>MEDIAN(5,8)</f>
        <v>6.5</v>
      </c>
      <c r="L1672" s="5">
        <v>3</v>
      </c>
      <c r="M1672" s="2" t="s">
        <v>571</v>
      </c>
      <c r="N1672" s="5">
        <v>26.3</v>
      </c>
      <c r="O1672" s="5">
        <v>15.5</v>
      </c>
      <c r="P1672" s="5">
        <v>3.9830000000000001</v>
      </c>
      <c r="Q1672" s="2" t="s">
        <v>376</v>
      </c>
      <c r="R1672" s="5">
        <v>11.95</v>
      </c>
      <c r="S1672" s="5"/>
      <c r="T1672" s="9">
        <v>1</v>
      </c>
      <c r="U1672" s="2" t="str">
        <f>IF(T1672&lt;=1, "1",IF(AND(T1672&gt;1,T1672&lt;4), "2-3", "+4"))</f>
        <v>1</v>
      </c>
      <c r="V1672" s="5"/>
      <c r="W1672" s="6" t="s">
        <v>2907</v>
      </c>
    </row>
    <row r="1673" spans="1:33" x14ac:dyDescent="0.15">
      <c r="A1673" s="2" t="s">
        <v>221</v>
      </c>
      <c r="B1673" s="2" t="s">
        <v>3930</v>
      </c>
      <c r="C1673" s="2" t="s">
        <v>1010</v>
      </c>
      <c r="D1673" s="2" t="s">
        <v>510</v>
      </c>
      <c r="E1673" s="1"/>
      <c r="F1673" s="2" t="s">
        <v>265</v>
      </c>
      <c r="G1673" s="2" t="s">
        <v>360</v>
      </c>
      <c r="H1673" s="2" t="str">
        <f t="shared" si="55"/>
        <v>W</v>
      </c>
      <c r="I1673" s="5">
        <v>7.1070000000000002</v>
      </c>
      <c r="J1673" s="5">
        <v>61.58</v>
      </c>
      <c r="K1673" s="5"/>
      <c r="L1673" s="5">
        <v>1.4</v>
      </c>
      <c r="M1673" s="2" t="s">
        <v>571</v>
      </c>
      <c r="N1673" s="5">
        <v>23.53</v>
      </c>
      <c r="O1673" s="5">
        <v>14.42</v>
      </c>
      <c r="P1673" s="5">
        <v>2.944</v>
      </c>
      <c r="Q1673" s="2" t="s">
        <v>376</v>
      </c>
      <c r="R1673" s="5">
        <v>4.1210000000000004</v>
      </c>
      <c r="S1673" s="5">
        <v>6.69</v>
      </c>
      <c r="V1673" s="5"/>
      <c r="W1673" s="6" t="s">
        <v>3992</v>
      </c>
    </row>
    <row r="1674" spans="1:33" x14ac:dyDescent="0.15">
      <c r="A1674" s="2" t="s">
        <v>221</v>
      </c>
      <c r="B1674" s="2" t="s">
        <v>3930</v>
      </c>
      <c r="C1674" s="2" t="s">
        <v>1010</v>
      </c>
      <c r="D1674" s="2" t="s">
        <v>510</v>
      </c>
      <c r="E1674" s="1"/>
      <c r="F1674" s="2" t="s">
        <v>269</v>
      </c>
      <c r="G1674" s="2">
        <v>33.5</v>
      </c>
      <c r="H1674" s="2" t="str">
        <f t="shared" si="55"/>
        <v>W</v>
      </c>
      <c r="I1674" s="5"/>
      <c r="J1674" s="5"/>
      <c r="K1674" s="5"/>
      <c r="L1674" s="5">
        <v>2.6</v>
      </c>
      <c r="M1674" s="2" t="s">
        <v>571</v>
      </c>
      <c r="N1674" s="5">
        <v>26.7</v>
      </c>
      <c r="O1674" s="5">
        <v>15.9</v>
      </c>
      <c r="P1674" s="5">
        <v>4.2</v>
      </c>
      <c r="Q1674" s="2" t="s">
        <v>18</v>
      </c>
      <c r="R1674" s="5">
        <f>P1674*L1674</f>
        <v>10.920000000000002</v>
      </c>
      <c r="S1674" s="5"/>
      <c r="V1674" s="5"/>
      <c r="W1674" s="6" t="s">
        <v>2048</v>
      </c>
    </row>
    <row r="1675" spans="1:33" x14ac:dyDescent="0.15">
      <c r="A1675" s="2" t="s">
        <v>221</v>
      </c>
      <c r="B1675" s="2" t="s">
        <v>3930</v>
      </c>
      <c r="C1675" s="2" t="s">
        <v>1010</v>
      </c>
      <c r="D1675" s="2" t="s">
        <v>510</v>
      </c>
      <c r="E1675" s="1"/>
      <c r="F1675" s="2" t="s">
        <v>2279</v>
      </c>
      <c r="G1675" s="2">
        <v>33.5</v>
      </c>
      <c r="H1675" s="2" t="str">
        <f t="shared" si="55"/>
        <v>W</v>
      </c>
      <c r="I1675" s="5"/>
      <c r="J1675" s="5"/>
      <c r="K1675" s="7"/>
      <c r="L1675" s="5">
        <v>2.6</v>
      </c>
      <c r="M1675" s="2" t="s">
        <v>571</v>
      </c>
      <c r="N1675" s="5"/>
      <c r="O1675" s="5"/>
      <c r="P1675" s="5"/>
      <c r="R1675" s="5"/>
      <c r="S1675" s="5"/>
      <c r="T1675" s="2">
        <v>2</v>
      </c>
      <c r="U1675" s="2" t="str">
        <f t="shared" ref="U1675:U1680" si="56">IF(T1675&lt;=1, "1",IF(AND(T1675&gt;1,T1675&lt;4), "2-3", "+4"))</f>
        <v>2-3</v>
      </c>
      <c r="V1675" s="5"/>
      <c r="W1675" s="6" t="s">
        <v>3055</v>
      </c>
    </row>
    <row r="1676" spans="1:33" x14ac:dyDescent="0.15">
      <c r="A1676" s="2" t="s">
        <v>221</v>
      </c>
      <c r="B1676" s="2" t="s">
        <v>3930</v>
      </c>
      <c r="C1676" s="2" t="s">
        <v>1010</v>
      </c>
      <c r="D1676" s="2" t="s">
        <v>510</v>
      </c>
      <c r="E1676" s="1"/>
      <c r="F1676" s="2" t="s">
        <v>2278</v>
      </c>
      <c r="G1676" s="2">
        <v>33.5</v>
      </c>
      <c r="H1676" s="2" t="str">
        <f t="shared" si="55"/>
        <v>W</v>
      </c>
      <c r="I1676" s="5"/>
      <c r="J1676" s="5"/>
      <c r="K1676" s="7"/>
      <c r="L1676" s="5">
        <v>2.75</v>
      </c>
      <c r="M1676" s="2" t="s">
        <v>571</v>
      </c>
      <c r="N1676" s="5"/>
      <c r="O1676" s="5"/>
      <c r="P1676" s="5"/>
      <c r="R1676" s="5"/>
      <c r="S1676" s="5"/>
      <c r="T1676" s="9">
        <f>MEDIAN(3,4)</f>
        <v>3.5</v>
      </c>
      <c r="U1676" s="2" t="str">
        <f t="shared" si="56"/>
        <v>2-3</v>
      </c>
      <c r="V1676" s="5"/>
      <c r="W1676" s="6" t="s">
        <v>3055</v>
      </c>
    </row>
    <row r="1677" spans="1:33" x14ac:dyDescent="0.15">
      <c r="A1677" s="2" t="s">
        <v>221</v>
      </c>
      <c r="B1677" s="2" t="s">
        <v>3930</v>
      </c>
      <c r="C1677" s="2" t="s">
        <v>1010</v>
      </c>
      <c r="D1677" s="2" t="s">
        <v>510</v>
      </c>
      <c r="E1677" s="1"/>
      <c r="F1677" s="2" t="s">
        <v>1916</v>
      </c>
      <c r="G1677" s="2">
        <v>25.67</v>
      </c>
      <c r="H1677" s="2" t="str">
        <f t="shared" si="55"/>
        <v>W</v>
      </c>
      <c r="I1677" s="5">
        <v>7.7</v>
      </c>
      <c r="J1677" s="5">
        <v>70.03</v>
      </c>
      <c r="K1677" s="5"/>
      <c r="L1677" s="5">
        <v>2.34</v>
      </c>
      <c r="M1677" s="2" t="s">
        <v>571</v>
      </c>
      <c r="N1677" s="5">
        <v>22.59</v>
      </c>
      <c r="O1677" s="5">
        <v>13.63</v>
      </c>
      <c r="P1677" s="5">
        <v>2.3860000000000001</v>
      </c>
      <c r="Q1677" s="2" t="s">
        <v>376</v>
      </c>
      <c r="R1677" s="5">
        <v>5.58</v>
      </c>
      <c r="S1677" s="5">
        <v>7.97</v>
      </c>
      <c r="T1677" s="9">
        <f>MEDIAN(3,4)</f>
        <v>3.5</v>
      </c>
      <c r="U1677" s="2" t="str">
        <f t="shared" si="56"/>
        <v>2-3</v>
      </c>
      <c r="V1677" s="5">
        <f>S1677*T1677</f>
        <v>27.895</v>
      </c>
      <c r="W1677" s="6" t="s">
        <v>2897</v>
      </c>
    </row>
    <row r="1678" spans="1:33" x14ac:dyDescent="0.15">
      <c r="A1678" s="2" t="s">
        <v>221</v>
      </c>
      <c r="B1678" s="2" t="s">
        <v>3930</v>
      </c>
      <c r="C1678" s="2" t="s">
        <v>1010</v>
      </c>
      <c r="D1678" s="2" t="s">
        <v>510</v>
      </c>
      <c r="E1678" s="1"/>
      <c r="F1678" s="2" t="s">
        <v>107</v>
      </c>
      <c r="G1678" s="4">
        <v>37.68</v>
      </c>
      <c r="H1678" s="2" t="str">
        <f t="shared" si="55"/>
        <v>W</v>
      </c>
      <c r="I1678" s="5">
        <v>8.59</v>
      </c>
      <c r="J1678" s="5">
        <f xml:space="preserve"> 0.1815*I1678^2.766</f>
        <v>69.550734460134024</v>
      </c>
      <c r="K1678" s="5">
        <v>4.5</v>
      </c>
      <c r="L1678" s="5">
        <v>3.2</v>
      </c>
      <c r="M1678" s="2" t="s">
        <v>571</v>
      </c>
      <c r="N1678" s="5">
        <v>23.82</v>
      </c>
      <c r="O1678" s="5">
        <v>13.72</v>
      </c>
      <c r="P1678" s="5">
        <v>2.66</v>
      </c>
      <c r="Q1678" s="2" t="s">
        <v>18</v>
      </c>
      <c r="R1678" s="5">
        <v>8.5120000000000005</v>
      </c>
      <c r="S1678" s="5">
        <v>11.2</v>
      </c>
      <c r="T1678" s="2">
        <v>2</v>
      </c>
      <c r="U1678" s="2" t="str">
        <f t="shared" si="56"/>
        <v>2-3</v>
      </c>
      <c r="V1678" s="5">
        <v>22.4</v>
      </c>
      <c r="W1678" s="10" t="s">
        <v>1854</v>
      </c>
    </row>
    <row r="1679" spans="1:33" x14ac:dyDescent="0.15">
      <c r="A1679" s="2" t="s">
        <v>221</v>
      </c>
      <c r="B1679" s="2" t="s">
        <v>3930</v>
      </c>
      <c r="C1679" s="2" t="s">
        <v>1010</v>
      </c>
      <c r="D1679" s="2" t="s">
        <v>510</v>
      </c>
      <c r="E1679" s="1"/>
      <c r="F1679" s="2" t="s">
        <v>885</v>
      </c>
      <c r="G1679" s="4">
        <v>37.630000000000003</v>
      </c>
      <c r="H1679" s="2" t="str">
        <f t="shared" si="55"/>
        <v>W</v>
      </c>
      <c r="I1679" s="5">
        <v>7.94</v>
      </c>
      <c r="J1679" s="5">
        <f xml:space="preserve"> 0.1815*I1679^2.766</f>
        <v>55.94742967863067</v>
      </c>
      <c r="K1679" s="5">
        <v>4</v>
      </c>
      <c r="L1679" s="5">
        <v>2.7</v>
      </c>
      <c r="M1679" s="2" t="s">
        <v>571</v>
      </c>
      <c r="N1679" s="5"/>
      <c r="O1679" s="5"/>
      <c r="P1679" s="5"/>
      <c r="R1679" s="5"/>
      <c r="S1679" s="5"/>
      <c r="T1679" s="2">
        <v>2</v>
      </c>
      <c r="U1679" s="2" t="str">
        <f t="shared" si="56"/>
        <v>2-3</v>
      </c>
      <c r="V1679" s="5"/>
      <c r="W1679" s="10" t="s">
        <v>1853</v>
      </c>
    </row>
    <row r="1680" spans="1:33" x14ac:dyDescent="0.15">
      <c r="A1680" s="2" t="s">
        <v>221</v>
      </c>
      <c r="B1680" s="2" t="s">
        <v>3930</v>
      </c>
      <c r="C1680" s="2" t="s">
        <v>1010</v>
      </c>
      <c r="D1680" s="2" t="s">
        <v>510</v>
      </c>
      <c r="E1680" s="1"/>
      <c r="F1680" s="2" t="s">
        <v>107</v>
      </c>
      <c r="H1680" s="2" t="s">
        <v>3887</v>
      </c>
      <c r="I1680" s="5">
        <v>8.73</v>
      </c>
      <c r="J1680" s="5">
        <v>109.6</v>
      </c>
      <c r="K1680" s="5">
        <v>4</v>
      </c>
      <c r="L1680" s="5">
        <v>3.6</v>
      </c>
      <c r="M1680" s="2" t="s">
        <v>571</v>
      </c>
      <c r="N1680" s="5">
        <v>25.9</v>
      </c>
      <c r="O1680" s="5">
        <v>14.7</v>
      </c>
      <c r="P1680" s="5">
        <v>3.3</v>
      </c>
      <c r="Q1680" s="2" t="s">
        <v>18</v>
      </c>
      <c r="R1680" s="5">
        <v>11.88</v>
      </c>
      <c r="S1680" s="5">
        <v>10.84</v>
      </c>
      <c r="T1680" s="2">
        <f>MEDIAN(1,2)</f>
        <v>1.5</v>
      </c>
      <c r="U1680" s="2" t="str">
        <f t="shared" si="56"/>
        <v>2-3</v>
      </c>
      <c r="V1680" s="5">
        <f>S1680*T1680</f>
        <v>16.259999999999998</v>
      </c>
      <c r="W1680" s="6" t="s">
        <v>2221</v>
      </c>
    </row>
    <row r="1681" spans="1:23" x14ac:dyDescent="0.15">
      <c r="A1681" s="1" t="s">
        <v>221</v>
      </c>
      <c r="B1681" s="2" t="s">
        <v>3930</v>
      </c>
      <c r="C1681" s="1" t="s">
        <v>1010</v>
      </c>
      <c r="D1681" s="1" t="s">
        <v>510</v>
      </c>
      <c r="E1681" s="1"/>
      <c r="F1681" s="1" t="s">
        <v>374</v>
      </c>
      <c r="G1681" s="1" t="s">
        <v>374</v>
      </c>
      <c r="H1681" s="2" t="str">
        <f t="shared" ref="H1681:H1711" si="57">IF(G1681="captive","C","W")</f>
        <v>C</v>
      </c>
      <c r="I1681" s="8">
        <v>10.7</v>
      </c>
      <c r="J1681" s="8">
        <v>247.7</v>
      </c>
      <c r="K1681" s="8"/>
      <c r="L1681" s="8">
        <v>2.5</v>
      </c>
      <c r="M1681" s="8" t="s">
        <v>571</v>
      </c>
      <c r="N1681" s="8">
        <v>28</v>
      </c>
      <c r="O1681" s="8">
        <v>17</v>
      </c>
      <c r="P1681" s="8">
        <v>5.0270000000000001</v>
      </c>
      <c r="Q1681" s="1" t="s">
        <v>376</v>
      </c>
      <c r="R1681" s="8">
        <v>12.57</v>
      </c>
      <c r="S1681" s="8">
        <v>5.0739999999999998</v>
      </c>
      <c r="T1681" s="1"/>
      <c r="U1681" s="1"/>
      <c r="V1681" s="8"/>
      <c r="W1681" s="6" t="s">
        <v>3864</v>
      </c>
    </row>
    <row r="1682" spans="1:23" x14ac:dyDescent="0.15">
      <c r="A1682" s="2" t="s">
        <v>221</v>
      </c>
      <c r="B1682" s="2" t="s">
        <v>3930</v>
      </c>
      <c r="C1682" s="2" t="s">
        <v>1010</v>
      </c>
      <c r="D1682" s="2" t="s">
        <v>510</v>
      </c>
      <c r="E1682" s="1"/>
      <c r="F1682" s="2" t="s">
        <v>2763</v>
      </c>
      <c r="H1682" s="2" t="s">
        <v>3887</v>
      </c>
      <c r="I1682" s="5"/>
      <c r="J1682" s="5"/>
      <c r="K1682" s="5"/>
      <c r="L1682" s="5"/>
      <c r="M1682" s="2" t="s">
        <v>571</v>
      </c>
      <c r="N1682" s="5">
        <v>25.4</v>
      </c>
      <c r="O1682" s="5">
        <v>15</v>
      </c>
      <c r="P1682" s="5">
        <v>3.6</v>
      </c>
      <c r="Q1682" s="2" t="s">
        <v>18</v>
      </c>
      <c r="R1682" s="5"/>
      <c r="S1682" s="5"/>
      <c r="V1682" s="5"/>
      <c r="W1682" s="6" t="s">
        <v>2043</v>
      </c>
    </row>
    <row r="1683" spans="1:23" x14ac:dyDescent="0.15">
      <c r="A1683" s="2" t="s">
        <v>221</v>
      </c>
      <c r="B1683" s="2" t="s">
        <v>3930</v>
      </c>
      <c r="C1683" s="2" t="s">
        <v>1010</v>
      </c>
      <c r="D1683" s="2" t="s">
        <v>510</v>
      </c>
      <c r="E1683" s="1"/>
      <c r="F1683" s="2" t="s">
        <v>538</v>
      </c>
      <c r="H1683" s="2" t="s">
        <v>3887</v>
      </c>
      <c r="I1683" s="5">
        <v>8.68</v>
      </c>
      <c r="J1683" s="5">
        <f xml:space="preserve"> 0.1815*I1683^2.766</f>
        <v>71.585026358886466</v>
      </c>
      <c r="K1683" s="5"/>
      <c r="L1683" s="5">
        <v>3.25</v>
      </c>
      <c r="M1683" s="2" t="s">
        <v>571</v>
      </c>
      <c r="N1683" s="5">
        <v>24.663</v>
      </c>
      <c r="O1683" s="5">
        <v>14.35</v>
      </c>
      <c r="P1683" s="5">
        <f xml:space="preserve"> 0.186*N1683 + 0.485*O1683 - 8.426</f>
        <v>3.1210679999999993</v>
      </c>
      <c r="Q1683" s="2" t="s">
        <v>376</v>
      </c>
      <c r="R1683" s="5">
        <v>10.14</v>
      </c>
      <c r="S1683" s="5">
        <f>(R1683/J1683)*100</f>
        <v>14.164973480855938</v>
      </c>
      <c r="V1683" s="5"/>
      <c r="W1683" s="6" t="s">
        <v>2220</v>
      </c>
    </row>
    <row r="1684" spans="1:23" x14ac:dyDescent="0.15">
      <c r="A1684" s="2" t="s">
        <v>221</v>
      </c>
      <c r="B1684" s="2" t="s">
        <v>3930</v>
      </c>
      <c r="C1684" s="2" t="s">
        <v>1010</v>
      </c>
      <c r="D1684" s="2" t="s">
        <v>510</v>
      </c>
      <c r="E1684" s="1"/>
      <c r="F1684" s="2" t="s">
        <v>374</v>
      </c>
      <c r="G1684" s="2" t="s">
        <v>374</v>
      </c>
      <c r="H1684" s="2" t="str">
        <f t="shared" si="57"/>
        <v>C</v>
      </c>
      <c r="I1684" s="5"/>
      <c r="J1684" s="5"/>
      <c r="K1684" s="5">
        <v>2.5</v>
      </c>
      <c r="L1684" s="5">
        <v>2</v>
      </c>
      <c r="M1684" s="2" t="s">
        <v>571</v>
      </c>
      <c r="N1684" s="5"/>
      <c r="O1684" s="5"/>
      <c r="P1684" s="5"/>
      <c r="R1684" s="5"/>
      <c r="S1684" s="5"/>
      <c r="V1684" s="5"/>
      <c r="W1684" s="6" t="s">
        <v>3056</v>
      </c>
    </row>
    <row r="1685" spans="1:23" x14ac:dyDescent="0.15">
      <c r="A1685" s="2" t="s">
        <v>221</v>
      </c>
      <c r="B1685" s="2" t="s">
        <v>3930</v>
      </c>
      <c r="C1685" s="2" t="s">
        <v>1010</v>
      </c>
      <c r="D1685" s="2" t="s">
        <v>510</v>
      </c>
      <c r="E1685" s="1"/>
      <c r="F1685" s="2" t="s">
        <v>69</v>
      </c>
      <c r="G1685" s="2">
        <v>27.58</v>
      </c>
      <c r="H1685" s="2" t="str">
        <f t="shared" si="57"/>
        <v>W</v>
      </c>
      <c r="I1685" s="5">
        <v>6.37</v>
      </c>
      <c r="J1685" s="5">
        <v>41.45</v>
      </c>
      <c r="K1685" s="5">
        <v>3</v>
      </c>
      <c r="L1685" s="5">
        <v>2</v>
      </c>
      <c r="M1685" s="2" t="s">
        <v>571</v>
      </c>
      <c r="N1685" s="5">
        <v>22.8</v>
      </c>
      <c r="O1685" s="5">
        <v>13.7</v>
      </c>
      <c r="P1685" s="5">
        <v>2.4590000000000001</v>
      </c>
      <c r="Q1685" s="2" t="s">
        <v>376</v>
      </c>
      <c r="R1685" s="5">
        <v>4.92</v>
      </c>
      <c r="S1685" s="5">
        <v>11.87</v>
      </c>
      <c r="T1685" s="9"/>
      <c r="U1685" s="9"/>
      <c r="V1685" s="5"/>
      <c r="W1685" s="6" t="s">
        <v>3057</v>
      </c>
    </row>
    <row r="1686" spans="1:23" x14ac:dyDescent="0.15">
      <c r="A1686" s="2" t="s">
        <v>221</v>
      </c>
      <c r="B1686" s="2" t="s">
        <v>3930</v>
      </c>
      <c r="C1686" s="2" t="s">
        <v>1010</v>
      </c>
      <c r="D1686" s="2" t="s">
        <v>510</v>
      </c>
      <c r="E1686" s="1"/>
      <c r="F1686" s="2" t="s">
        <v>77</v>
      </c>
      <c r="G1686" s="2">
        <v>42.44</v>
      </c>
      <c r="H1686" s="2" t="str">
        <f t="shared" si="57"/>
        <v>W</v>
      </c>
      <c r="I1686" s="5"/>
      <c r="J1686" s="5"/>
      <c r="K1686" s="5">
        <v>10</v>
      </c>
      <c r="L1686" s="5">
        <v>4</v>
      </c>
      <c r="M1686" s="2" t="s">
        <v>571</v>
      </c>
      <c r="N1686" s="5">
        <v>27.1</v>
      </c>
      <c r="O1686" s="5">
        <v>15.5</v>
      </c>
      <c r="P1686" s="5">
        <v>4.1319999999999997</v>
      </c>
      <c r="Q1686" s="2" t="s">
        <v>376</v>
      </c>
      <c r="R1686" s="5">
        <v>16.53</v>
      </c>
      <c r="S1686" s="5"/>
      <c r="T1686" s="9">
        <v>1</v>
      </c>
      <c r="U1686" s="2" t="str">
        <f>IF(T1686&lt;=1, "1",IF(AND(T1686&gt;1,T1686&lt;4), "2-3", "+4"))</f>
        <v>1</v>
      </c>
      <c r="V1686" s="5"/>
      <c r="W1686" s="6" t="s">
        <v>3058</v>
      </c>
    </row>
    <row r="1687" spans="1:23" x14ac:dyDescent="0.15">
      <c r="A1687" s="2" t="s">
        <v>221</v>
      </c>
      <c r="B1687" s="2" t="s">
        <v>3930</v>
      </c>
      <c r="C1687" s="2" t="s">
        <v>1010</v>
      </c>
      <c r="D1687" s="2" t="s">
        <v>510</v>
      </c>
      <c r="E1687" s="1"/>
      <c r="F1687" s="2" t="s">
        <v>69</v>
      </c>
      <c r="G1687" s="2">
        <v>30.79</v>
      </c>
      <c r="H1687" s="2" t="str">
        <f t="shared" si="57"/>
        <v>W</v>
      </c>
      <c r="I1687" s="5"/>
      <c r="J1687" s="5"/>
      <c r="K1687" s="5"/>
      <c r="L1687" s="5"/>
      <c r="M1687" s="2" t="s">
        <v>571</v>
      </c>
      <c r="N1687" s="5">
        <v>25.3</v>
      </c>
      <c r="O1687" s="5">
        <v>14.9</v>
      </c>
      <c r="P1687" s="5">
        <v>3.51</v>
      </c>
      <c r="Q1687" s="2" t="s">
        <v>376</v>
      </c>
      <c r="R1687" s="5"/>
      <c r="S1687" s="5"/>
      <c r="V1687" s="5"/>
      <c r="W1687" s="6" t="s">
        <v>3059</v>
      </c>
    </row>
    <row r="1688" spans="1:23" x14ac:dyDescent="0.15">
      <c r="A1688" s="2" t="s">
        <v>221</v>
      </c>
      <c r="B1688" s="2" t="s">
        <v>3930</v>
      </c>
      <c r="C1688" s="2" t="s">
        <v>1010</v>
      </c>
      <c r="D1688" s="2" t="s">
        <v>510</v>
      </c>
      <c r="E1688" s="1"/>
      <c r="F1688" s="2" t="s">
        <v>907</v>
      </c>
      <c r="G1688" s="2">
        <v>40.880000000000003</v>
      </c>
      <c r="H1688" s="2" t="str">
        <f t="shared" si="57"/>
        <v>W</v>
      </c>
      <c r="I1688" s="5">
        <v>9.65</v>
      </c>
      <c r="J1688" s="5">
        <v>130.80000000000001</v>
      </c>
      <c r="K1688" s="5"/>
      <c r="L1688" s="5">
        <v>5</v>
      </c>
      <c r="M1688" s="2" t="s">
        <v>571</v>
      </c>
      <c r="N1688" s="5">
        <v>25.69</v>
      </c>
      <c r="O1688" s="5">
        <v>15.14</v>
      </c>
      <c r="P1688" s="5">
        <v>3.6960000000000002</v>
      </c>
      <c r="Q1688" s="2" t="s">
        <v>376</v>
      </c>
      <c r="R1688" s="5">
        <v>18.48</v>
      </c>
      <c r="S1688" s="5">
        <v>14.13</v>
      </c>
      <c r="T1688" s="9"/>
      <c r="U1688" s="9"/>
      <c r="V1688" s="5"/>
      <c r="W1688" s="6" t="s">
        <v>3293</v>
      </c>
    </row>
    <row r="1689" spans="1:23" x14ac:dyDescent="0.15">
      <c r="A1689" s="2" t="s">
        <v>221</v>
      </c>
      <c r="B1689" s="2" t="s">
        <v>3930</v>
      </c>
      <c r="C1689" s="2" t="s">
        <v>1010</v>
      </c>
      <c r="D1689" s="2" t="s">
        <v>510</v>
      </c>
      <c r="E1689" s="1"/>
      <c r="F1689" s="2" t="s">
        <v>5157</v>
      </c>
      <c r="G1689" s="2">
        <v>36.299999999999997</v>
      </c>
      <c r="H1689" s="2" t="str">
        <f t="shared" si="57"/>
        <v>W</v>
      </c>
      <c r="I1689" s="5"/>
      <c r="J1689" s="5">
        <v>137.9</v>
      </c>
      <c r="K1689" s="5"/>
      <c r="L1689" s="5">
        <v>3.8</v>
      </c>
      <c r="M1689" s="2" t="s">
        <v>571</v>
      </c>
      <c r="N1689" s="5"/>
      <c r="O1689" s="5"/>
      <c r="P1689" s="5">
        <v>3.66</v>
      </c>
      <c r="Q1689" s="2" t="s">
        <v>376</v>
      </c>
      <c r="R1689" s="5">
        <v>13.9</v>
      </c>
      <c r="S1689" s="5">
        <v>10.08</v>
      </c>
      <c r="T1689" s="9"/>
      <c r="U1689" s="9"/>
      <c r="V1689" s="5"/>
      <c r="W1689" s="6" t="s">
        <v>5158</v>
      </c>
    </row>
    <row r="1690" spans="1:23" x14ac:dyDescent="0.15">
      <c r="A1690" s="2" t="s">
        <v>221</v>
      </c>
      <c r="B1690" s="2" t="s">
        <v>3930</v>
      </c>
      <c r="C1690" s="2" t="s">
        <v>1010</v>
      </c>
      <c r="D1690" s="2" t="s">
        <v>510</v>
      </c>
      <c r="E1690" s="1"/>
      <c r="F1690" s="2" t="s">
        <v>374</v>
      </c>
      <c r="G1690" s="2" t="s">
        <v>374</v>
      </c>
      <c r="H1690" s="2" t="str">
        <f t="shared" si="57"/>
        <v>C</v>
      </c>
      <c r="I1690" s="5"/>
      <c r="J1690" s="5"/>
      <c r="K1690" s="5"/>
      <c r="L1690" s="5">
        <v>3.0830000000000002</v>
      </c>
      <c r="M1690" s="2" t="s">
        <v>571</v>
      </c>
      <c r="N1690" s="5">
        <f>MEDIAN(20,25)</f>
        <v>22.5</v>
      </c>
      <c r="O1690" s="5"/>
      <c r="P1690" s="7">
        <f>MEDIAN(2,4)</f>
        <v>3</v>
      </c>
      <c r="Q1690" s="2" t="s">
        <v>18</v>
      </c>
      <c r="R1690" s="5">
        <f>P1690*L1690</f>
        <v>9.2490000000000006</v>
      </c>
      <c r="S1690" s="5"/>
      <c r="T1690" s="2">
        <v>3.52</v>
      </c>
      <c r="U1690" s="2" t="str">
        <f>IF(T1690&lt;=1, "1",IF(AND(T1690&gt;1,T1690&lt;4), "2-3", "+4"))</f>
        <v>2-3</v>
      </c>
      <c r="V1690" s="5"/>
      <c r="W1690" s="6" t="s">
        <v>3060</v>
      </c>
    </row>
    <row r="1691" spans="1:23" x14ac:dyDescent="0.15">
      <c r="A1691" s="2" t="s">
        <v>221</v>
      </c>
      <c r="B1691" s="2" t="s">
        <v>3930</v>
      </c>
      <c r="C1691" s="2" t="s">
        <v>1010</v>
      </c>
      <c r="D1691" s="2" t="s">
        <v>510</v>
      </c>
      <c r="E1691" s="1"/>
      <c r="F1691" s="2" t="s">
        <v>177</v>
      </c>
      <c r="G1691" s="2">
        <v>39</v>
      </c>
      <c r="H1691" s="2" t="str">
        <f t="shared" si="57"/>
        <v>W</v>
      </c>
      <c r="I1691" s="5">
        <v>10.4</v>
      </c>
      <c r="J1691" s="5">
        <v>210</v>
      </c>
      <c r="K1691" s="5"/>
      <c r="L1691" s="5">
        <v>5.8</v>
      </c>
      <c r="M1691" s="2" t="s">
        <v>571</v>
      </c>
      <c r="N1691" s="5">
        <v>26.4</v>
      </c>
      <c r="O1691" s="5">
        <v>15.6</v>
      </c>
      <c r="P1691" s="5">
        <v>4.03</v>
      </c>
      <c r="Q1691" s="2" t="s">
        <v>18</v>
      </c>
      <c r="R1691" s="5">
        <v>22.98</v>
      </c>
      <c r="S1691" s="5">
        <v>10.94</v>
      </c>
      <c r="V1691" s="5"/>
      <c r="W1691" s="6" t="s">
        <v>2387</v>
      </c>
    </row>
    <row r="1692" spans="1:23" ht="12.75" customHeight="1" x14ac:dyDescent="0.15">
      <c r="A1692" s="2" t="s">
        <v>221</v>
      </c>
      <c r="B1692" s="2" t="s">
        <v>3930</v>
      </c>
      <c r="C1692" s="2" t="s">
        <v>1010</v>
      </c>
      <c r="D1692" s="2" t="s">
        <v>510</v>
      </c>
      <c r="E1692" s="1"/>
      <c r="F1692" s="2" t="s">
        <v>177</v>
      </c>
      <c r="G1692" s="2">
        <v>39.1</v>
      </c>
      <c r="H1692" s="2" t="str">
        <f t="shared" si="57"/>
        <v>W</v>
      </c>
      <c r="I1692" s="5">
        <v>10.4</v>
      </c>
      <c r="J1692" s="5">
        <v>210</v>
      </c>
      <c r="K1692" s="5"/>
      <c r="L1692" s="5">
        <v>5.8</v>
      </c>
      <c r="M1692" s="2" t="s">
        <v>571</v>
      </c>
      <c r="N1692" s="5">
        <v>26.4</v>
      </c>
      <c r="O1692" s="5">
        <v>15.6</v>
      </c>
      <c r="P1692" s="5">
        <v>4.03</v>
      </c>
      <c r="Q1692" s="2" t="s">
        <v>18</v>
      </c>
      <c r="R1692" s="5">
        <v>22.98</v>
      </c>
      <c r="S1692" s="5">
        <v>10.94</v>
      </c>
      <c r="V1692" s="5"/>
      <c r="W1692" s="6" t="s">
        <v>2387</v>
      </c>
    </row>
    <row r="1693" spans="1:23" ht="12.75" customHeight="1" x14ac:dyDescent="0.15">
      <c r="A1693" s="2" t="s">
        <v>221</v>
      </c>
      <c r="B1693" s="2" t="s">
        <v>3930</v>
      </c>
      <c r="C1693" s="2" t="s">
        <v>1010</v>
      </c>
      <c r="D1693" s="2" t="s">
        <v>510</v>
      </c>
      <c r="E1693" s="1"/>
      <c r="F1693" s="2" t="s">
        <v>177</v>
      </c>
      <c r="G1693" s="2">
        <v>38.97</v>
      </c>
      <c r="H1693" s="2" t="str">
        <f t="shared" si="57"/>
        <v>W</v>
      </c>
      <c r="I1693" s="5">
        <v>13</v>
      </c>
      <c r="J1693" s="5">
        <v>370</v>
      </c>
      <c r="K1693" s="5"/>
      <c r="L1693" s="5">
        <v>13</v>
      </c>
      <c r="M1693" s="2" t="s">
        <v>571</v>
      </c>
      <c r="N1693" s="5">
        <v>26.1</v>
      </c>
      <c r="O1693" s="5">
        <v>15.9</v>
      </c>
      <c r="P1693" s="5">
        <v>4.0599999999999996</v>
      </c>
      <c r="Q1693" s="2" t="s">
        <v>18</v>
      </c>
      <c r="R1693" s="5">
        <v>52.78</v>
      </c>
      <c r="S1693" s="5">
        <v>14.26</v>
      </c>
      <c r="V1693" s="5"/>
      <c r="W1693" s="6" t="s">
        <v>3061</v>
      </c>
    </row>
    <row r="1694" spans="1:23" x14ac:dyDescent="0.15">
      <c r="A1694" s="2" t="s">
        <v>221</v>
      </c>
      <c r="B1694" s="2" t="s">
        <v>3930</v>
      </c>
      <c r="C1694" s="2" t="s">
        <v>1010</v>
      </c>
      <c r="D1694" s="2" t="s">
        <v>510</v>
      </c>
      <c r="E1694" s="1"/>
      <c r="F1694" s="2" t="s">
        <v>177</v>
      </c>
      <c r="G1694" s="2">
        <v>39.1</v>
      </c>
      <c r="H1694" s="2" t="str">
        <f t="shared" si="57"/>
        <v>W</v>
      </c>
      <c r="I1694" s="5">
        <v>10.4</v>
      </c>
      <c r="J1694" s="5">
        <v>235</v>
      </c>
      <c r="K1694" s="5"/>
      <c r="L1694" s="5">
        <v>6</v>
      </c>
      <c r="M1694" s="2" t="s">
        <v>571</v>
      </c>
      <c r="N1694" s="5">
        <v>26.6</v>
      </c>
      <c r="O1694" s="5">
        <v>15.6</v>
      </c>
      <c r="P1694" s="5">
        <v>4.04</v>
      </c>
      <c r="Q1694" s="2" t="s">
        <v>18</v>
      </c>
      <c r="R1694" s="5">
        <v>24.24</v>
      </c>
      <c r="S1694" s="5">
        <v>10.31</v>
      </c>
      <c r="V1694" s="5"/>
      <c r="W1694" s="6" t="s">
        <v>3137</v>
      </c>
    </row>
    <row r="1695" spans="1:23" x14ac:dyDescent="0.15">
      <c r="A1695" s="2" t="s">
        <v>221</v>
      </c>
      <c r="B1695" s="2" t="s">
        <v>3930</v>
      </c>
      <c r="C1695" s="2" t="s">
        <v>1010</v>
      </c>
      <c r="D1695" s="2" t="s">
        <v>510</v>
      </c>
      <c r="E1695" s="1"/>
      <c r="F1695" s="2" t="s">
        <v>126</v>
      </c>
      <c r="G1695" s="2">
        <v>33</v>
      </c>
      <c r="H1695" s="2" t="str">
        <f t="shared" si="57"/>
        <v>W</v>
      </c>
      <c r="I1695" s="5">
        <f>7.82/0.7793</f>
        <v>10.03464647760811</v>
      </c>
      <c r="J1695" s="5">
        <f xml:space="preserve"> 0.2473*I1695^2.766</f>
        <v>145.6729317874883</v>
      </c>
      <c r="K1695" s="5"/>
      <c r="L1695" s="5">
        <v>4.9800000000000004</v>
      </c>
      <c r="M1695" s="2" t="s">
        <v>571</v>
      </c>
      <c r="N1695" s="5"/>
      <c r="O1695" s="5">
        <v>15.48</v>
      </c>
      <c r="P1695" s="5">
        <f xml:space="preserve"> (0.6189*O1695) - 5.6106</f>
        <v>3.9699720000000003</v>
      </c>
      <c r="Q1695" s="2" t="s">
        <v>376</v>
      </c>
      <c r="R1695" s="5">
        <f>P1695*L1695</f>
        <v>19.770460560000004</v>
      </c>
      <c r="S1695" s="5">
        <f>(R1695/J1695)*100</f>
        <v>13.571814830253913</v>
      </c>
      <c r="V1695" s="5"/>
      <c r="W1695" s="6" t="s">
        <v>1812</v>
      </c>
    </row>
    <row r="1696" spans="1:23" x14ac:dyDescent="0.15">
      <c r="A1696" s="2" t="s">
        <v>221</v>
      </c>
      <c r="B1696" s="2" t="s">
        <v>3930</v>
      </c>
      <c r="C1696" s="2" t="s">
        <v>1010</v>
      </c>
      <c r="D1696" s="2" t="s">
        <v>1396</v>
      </c>
      <c r="E1696" s="1"/>
      <c r="F1696" s="2" t="s">
        <v>107</v>
      </c>
      <c r="G1696" s="2">
        <v>36.6</v>
      </c>
      <c r="H1696" s="2" t="str">
        <f t="shared" si="57"/>
        <v>W</v>
      </c>
      <c r="I1696" s="5">
        <v>10.01</v>
      </c>
      <c r="J1696" s="5">
        <v>137.30000000000001</v>
      </c>
      <c r="K1696" s="5"/>
      <c r="L1696" s="5">
        <v>2</v>
      </c>
      <c r="M1696" s="5" t="s">
        <v>571</v>
      </c>
      <c r="N1696" s="5">
        <v>29.3</v>
      </c>
      <c r="O1696" s="5">
        <v>16.8</v>
      </c>
      <c r="P1696" s="5">
        <v>4.9000000000000004</v>
      </c>
      <c r="Q1696" s="2" t="s">
        <v>18</v>
      </c>
      <c r="R1696" s="5">
        <v>9.8000000000000007</v>
      </c>
      <c r="S1696" s="5">
        <v>7.14</v>
      </c>
      <c r="V1696" s="5"/>
      <c r="W1696" s="6" t="s">
        <v>2221</v>
      </c>
    </row>
    <row r="1697" spans="1:23" x14ac:dyDescent="0.15">
      <c r="A1697" s="2" t="s">
        <v>221</v>
      </c>
      <c r="B1697" s="2" t="s">
        <v>3930</v>
      </c>
      <c r="C1697" s="2" t="s">
        <v>1010</v>
      </c>
      <c r="D1697" s="2" t="s">
        <v>1396</v>
      </c>
      <c r="E1697" s="1"/>
      <c r="F1697" s="2" t="s">
        <v>3989</v>
      </c>
      <c r="G1697" s="2" t="s">
        <v>3990</v>
      </c>
      <c r="H1697" s="2" t="str">
        <f t="shared" si="57"/>
        <v>W</v>
      </c>
      <c r="I1697" s="5">
        <v>10.89</v>
      </c>
      <c r="J1697" s="5">
        <v>191.82599999999999</v>
      </c>
      <c r="K1697" s="5"/>
      <c r="L1697" s="5">
        <v>3.25</v>
      </c>
      <c r="M1697" s="2" t="s">
        <v>571</v>
      </c>
      <c r="N1697" s="5"/>
      <c r="O1697" s="5">
        <v>17.3</v>
      </c>
      <c r="P1697" s="5">
        <v>5.2919999999999998</v>
      </c>
      <c r="Q1697" s="2" t="s">
        <v>376</v>
      </c>
      <c r="R1697" s="5">
        <v>17.2</v>
      </c>
      <c r="S1697" s="5">
        <v>8.9659999999999993</v>
      </c>
      <c r="V1697" s="5"/>
      <c r="W1697" s="6" t="s">
        <v>3991</v>
      </c>
    </row>
    <row r="1698" spans="1:23" x14ac:dyDescent="0.15">
      <c r="A1698" s="2" t="s">
        <v>270</v>
      </c>
      <c r="C1698" s="2" t="s">
        <v>1073</v>
      </c>
      <c r="D1698" s="2" t="s">
        <v>783</v>
      </c>
      <c r="E1698" s="1"/>
      <c r="F1698" s="2" t="s">
        <v>29</v>
      </c>
      <c r="H1698" s="2" t="s">
        <v>3887</v>
      </c>
      <c r="I1698" s="5"/>
      <c r="J1698" s="5"/>
      <c r="K1698" s="5"/>
      <c r="L1698" s="5"/>
      <c r="M1698" s="4" t="s">
        <v>191</v>
      </c>
      <c r="N1698" s="5"/>
      <c r="O1698" s="5"/>
      <c r="P1698" s="5"/>
      <c r="R1698" s="5"/>
      <c r="S1698" s="5"/>
      <c r="V1698" s="5"/>
      <c r="W1698" s="6" t="s">
        <v>838</v>
      </c>
    </row>
    <row r="1699" spans="1:23" x14ac:dyDescent="0.15">
      <c r="A1699" s="2" t="s">
        <v>270</v>
      </c>
      <c r="C1699" s="2" t="s">
        <v>1073</v>
      </c>
      <c r="D1699" s="2" t="s">
        <v>3848</v>
      </c>
      <c r="E1699" s="1"/>
      <c r="F1699" s="2" t="s">
        <v>374</v>
      </c>
      <c r="G1699" s="2" t="s">
        <v>374</v>
      </c>
      <c r="H1699" s="2" t="str">
        <f t="shared" si="57"/>
        <v>C</v>
      </c>
      <c r="I1699" s="5"/>
      <c r="J1699" s="5"/>
      <c r="K1699" s="5"/>
      <c r="L1699" s="5">
        <v>15</v>
      </c>
      <c r="M1699" s="4" t="s">
        <v>191</v>
      </c>
      <c r="N1699" s="5"/>
      <c r="O1699" s="5"/>
      <c r="P1699" s="5"/>
      <c r="R1699" s="5"/>
      <c r="S1699" s="5"/>
      <c r="V1699" s="5"/>
      <c r="W1699" s="6" t="s">
        <v>3062</v>
      </c>
    </row>
    <row r="1700" spans="1:23" x14ac:dyDescent="0.15">
      <c r="A1700" s="2" t="s">
        <v>270</v>
      </c>
      <c r="C1700" s="2" t="s">
        <v>1073</v>
      </c>
      <c r="D1700" s="2" t="s">
        <v>453</v>
      </c>
      <c r="E1700" s="1"/>
      <c r="F1700" s="2" t="s">
        <v>876</v>
      </c>
      <c r="G1700" s="2">
        <v>-33.03</v>
      </c>
      <c r="H1700" s="2" t="str">
        <f t="shared" si="57"/>
        <v>W</v>
      </c>
      <c r="I1700" s="5">
        <v>22.86</v>
      </c>
      <c r="J1700" s="5"/>
      <c r="K1700" s="5"/>
      <c r="L1700" s="5">
        <v>22</v>
      </c>
      <c r="M1700" s="2" t="s">
        <v>191</v>
      </c>
      <c r="N1700" s="5">
        <v>38.1</v>
      </c>
      <c r="O1700" s="5">
        <v>20.65</v>
      </c>
      <c r="P1700" s="5">
        <v>9.34</v>
      </c>
      <c r="Q1700" s="2" t="s">
        <v>18</v>
      </c>
      <c r="R1700" s="5">
        <f>P1700*L1700</f>
        <v>205.48</v>
      </c>
      <c r="S1700" s="5"/>
      <c r="V1700" s="5"/>
      <c r="W1700" s="6" t="s">
        <v>3871</v>
      </c>
    </row>
    <row r="1701" spans="1:23" x14ac:dyDescent="0.15">
      <c r="A1701" s="2" t="s">
        <v>270</v>
      </c>
      <c r="C1701" s="2" t="s">
        <v>1073</v>
      </c>
      <c r="D1701" s="2" t="s">
        <v>453</v>
      </c>
      <c r="E1701" s="1"/>
      <c r="F1701" s="2" t="s">
        <v>452</v>
      </c>
      <c r="G1701" s="2">
        <v>-29.9</v>
      </c>
      <c r="H1701" s="2" t="str">
        <f t="shared" si="57"/>
        <v>W</v>
      </c>
      <c r="I1701" s="5"/>
      <c r="J1701" s="5">
        <v>2273</v>
      </c>
      <c r="K1701" s="5"/>
      <c r="L1701" s="5">
        <v>31</v>
      </c>
      <c r="M1701" s="5" t="s">
        <v>191</v>
      </c>
      <c r="N1701" s="5">
        <v>35</v>
      </c>
      <c r="O1701" s="5">
        <v>18</v>
      </c>
      <c r="P1701" s="5">
        <v>8.7225000000000001</v>
      </c>
      <c r="Q1701" s="2" t="s">
        <v>376</v>
      </c>
      <c r="R1701" s="5">
        <f>P1701*L1701</f>
        <v>270.39749999999998</v>
      </c>
      <c r="S1701" s="5">
        <f>(R1701/J1701)*100</f>
        <v>11.896062472503299</v>
      </c>
      <c r="T1701" s="2">
        <v>1</v>
      </c>
      <c r="U1701" s="2" t="str">
        <f>IF(T1701&lt;=1, "1",IF(AND(T1701&gt;1,T1701&lt;4), "2-3", "+4"))</f>
        <v>1</v>
      </c>
      <c r="V1701" s="5">
        <f>S1701*T1701</f>
        <v>11.896062472503299</v>
      </c>
      <c r="W1701" s="6" t="s">
        <v>2049</v>
      </c>
    </row>
    <row r="1702" spans="1:23" x14ac:dyDescent="0.15">
      <c r="A1702" s="2" t="s">
        <v>270</v>
      </c>
      <c r="C1702" s="2" t="s">
        <v>1073</v>
      </c>
      <c r="D1702" s="2" t="s">
        <v>453</v>
      </c>
      <c r="E1702" s="1"/>
      <c r="F1702" s="2" t="s">
        <v>876</v>
      </c>
      <c r="G1702" s="2">
        <v>-34</v>
      </c>
      <c r="H1702" s="2" t="str">
        <f t="shared" si="57"/>
        <v>W</v>
      </c>
      <c r="I1702" s="5">
        <v>20.459</v>
      </c>
      <c r="J1702" s="5"/>
      <c r="K1702" s="5"/>
      <c r="L1702" s="5">
        <f>R1702/P1702</f>
        <v>21.790602655771199</v>
      </c>
      <c r="M1702" s="5" t="s">
        <v>191</v>
      </c>
      <c r="N1702" s="5">
        <v>35.659999999999997</v>
      </c>
      <c r="O1702" s="5">
        <v>21.63</v>
      </c>
      <c r="P1702" s="5">
        <v>9.7899999999999991</v>
      </c>
      <c r="Q1702" s="2" t="s">
        <v>376</v>
      </c>
      <c r="R1702" s="5">
        <v>213.33</v>
      </c>
      <c r="S1702" s="5"/>
      <c r="V1702" s="5"/>
      <c r="W1702" s="6" t="s">
        <v>3911</v>
      </c>
    </row>
    <row r="1703" spans="1:23" x14ac:dyDescent="0.15">
      <c r="A1703" s="2" t="s">
        <v>270</v>
      </c>
      <c r="C1703" s="2" t="s">
        <v>1073</v>
      </c>
      <c r="D1703" s="2" t="s">
        <v>784</v>
      </c>
      <c r="E1703" s="1"/>
      <c r="F1703" s="2" t="s">
        <v>29</v>
      </c>
      <c r="H1703" s="2" t="s">
        <v>3887</v>
      </c>
      <c r="I1703" s="5"/>
      <c r="J1703" s="5"/>
      <c r="K1703" s="5"/>
      <c r="L1703" s="5"/>
      <c r="M1703" s="4" t="s">
        <v>191</v>
      </c>
      <c r="N1703" s="5"/>
      <c r="O1703" s="5"/>
      <c r="P1703" s="5"/>
      <c r="R1703" s="5"/>
      <c r="S1703" s="5"/>
      <c r="V1703" s="5"/>
      <c r="W1703" s="6" t="s">
        <v>838</v>
      </c>
    </row>
    <row r="1704" spans="1:23" x14ac:dyDescent="0.15">
      <c r="A1704" s="2" t="s">
        <v>270</v>
      </c>
      <c r="C1704" s="2" t="s">
        <v>1073</v>
      </c>
      <c r="D1704" s="2" t="s">
        <v>785</v>
      </c>
      <c r="E1704" s="1"/>
      <c r="F1704" s="2" t="s">
        <v>29</v>
      </c>
      <c r="H1704" s="2" t="s">
        <v>3887</v>
      </c>
      <c r="I1704" s="5"/>
      <c r="J1704" s="5"/>
      <c r="K1704" s="5"/>
      <c r="L1704" s="5"/>
      <c r="M1704" s="4" t="s">
        <v>191</v>
      </c>
      <c r="N1704" s="5"/>
      <c r="O1704" s="5"/>
      <c r="P1704" s="5"/>
      <c r="R1704" s="5"/>
      <c r="S1704" s="5"/>
      <c r="V1704" s="5"/>
      <c r="W1704" s="6" t="s">
        <v>838</v>
      </c>
    </row>
    <row r="1705" spans="1:23" x14ac:dyDescent="0.15">
      <c r="A1705" s="2" t="s">
        <v>270</v>
      </c>
      <c r="C1705" s="2" t="s">
        <v>1073</v>
      </c>
      <c r="D1705" s="2" t="s">
        <v>786</v>
      </c>
      <c r="E1705" s="1"/>
      <c r="F1705" s="2" t="s">
        <v>29</v>
      </c>
      <c r="H1705" s="2" t="s">
        <v>3887</v>
      </c>
      <c r="I1705" s="5"/>
      <c r="J1705" s="5"/>
      <c r="K1705" s="5"/>
      <c r="L1705" s="5"/>
      <c r="M1705" s="4" t="s">
        <v>191</v>
      </c>
      <c r="N1705" s="5"/>
      <c r="O1705" s="5"/>
      <c r="P1705" s="5"/>
      <c r="R1705" s="5"/>
      <c r="S1705" s="5"/>
      <c r="V1705" s="5"/>
      <c r="W1705" s="6" t="s">
        <v>838</v>
      </c>
    </row>
    <row r="1706" spans="1:23" x14ac:dyDescent="0.15">
      <c r="A1706" s="2" t="s">
        <v>270</v>
      </c>
      <c r="C1706" s="2" t="s">
        <v>1073</v>
      </c>
      <c r="D1706" s="2" t="s">
        <v>471</v>
      </c>
      <c r="E1706" s="1"/>
      <c r="F1706" s="2" t="s">
        <v>374</v>
      </c>
      <c r="G1706" s="2" t="s">
        <v>374</v>
      </c>
      <c r="H1706" s="2" t="str">
        <f t="shared" si="57"/>
        <v>C</v>
      </c>
      <c r="I1706" s="5">
        <v>12.6</v>
      </c>
      <c r="J1706" s="5">
        <v>367</v>
      </c>
      <c r="K1706" s="5"/>
      <c r="L1706" s="5">
        <v>13</v>
      </c>
      <c r="M1706" s="5" t="s">
        <v>191</v>
      </c>
      <c r="N1706" s="5">
        <v>30</v>
      </c>
      <c r="O1706" s="5">
        <v>18</v>
      </c>
      <c r="P1706" s="5">
        <f xml:space="preserve"> (0.251*N1706) + (0.641*O1706) - 13.025</f>
        <v>6.043000000000001</v>
      </c>
      <c r="Q1706" s="2" t="s">
        <v>376</v>
      </c>
      <c r="R1706" s="5">
        <f>P1706*L1706</f>
        <v>78.559000000000012</v>
      </c>
      <c r="S1706" s="5">
        <f>(R1706/J1706)*100</f>
        <v>21.405722070844689</v>
      </c>
      <c r="V1706" s="5"/>
      <c r="W1706" s="6" t="s">
        <v>3063</v>
      </c>
    </row>
    <row r="1707" spans="1:23" x14ac:dyDescent="0.15">
      <c r="A1707" s="2" t="s">
        <v>270</v>
      </c>
      <c r="C1707" s="2" t="s">
        <v>1073</v>
      </c>
      <c r="D1707" s="2" t="s">
        <v>471</v>
      </c>
      <c r="E1707" s="1"/>
      <c r="F1707" s="2" t="s">
        <v>374</v>
      </c>
      <c r="G1707" s="2" t="s">
        <v>374</v>
      </c>
      <c r="H1707" s="2" t="str">
        <f t="shared" si="57"/>
        <v>C</v>
      </c>
      <c r="I1707" s="5">
        <v>13.3</v>
      </c>
      <c r="J1707" s="5">
        <v>516</v>
      </c>
      <c r="K1707" s="5"/>
      <c r="L1707" s="5">
        <v>19.100000000000001</v>
      </c>
      <c r="M1707" s="5" t="s">
        <v>191</v>
      </c>
      <c r="N1707" s="5">
        <v>29.5</v>
      </c>
      <c r="O1707" s="5">
        <v>17.5</v>
      </c>
      <c r="P1707" s="5">
        <v>5.6</v>
      </c>
      <c r="Q1707" s="2" t="s">
        <v>376</v>
      </c>
      <c r="R1707" s="5">
        <f>P1707*L1707</f>
        <v>106.96000000000001</v>
      </c>
      <c r="S1707" s="5">
        <f>(R1707/J1707)*100</f>
        <v>20.728682170542637</v>
      </c>
      <c r="T1707" s="2">
        <v>1</v>
      </c>
      <c r="U1707" s="2" t="str">
        <f>IF(T1707&lt;=1, "1",IF(AND(T1707&gt;1,T1707&lt;4), "2-3", "+4"))</f>
        <v>1</v>
      </c>
      <c r="V1707" s="5">
        <f>S1707*T1707</f>
        <v>20.728682170542637</v>
      </c>
      <c r="W1707" s="6" t="s">
        <v>3571</v>
      </c>
    </row>
    <row r="1708" spans="1:23" x14ac:dyDescent="0.15">
      <c r="A1708" s="2" t="s">
        <v>270</v>
      </c>
      <c r="C1708" s="2" t="s">
        <v>1073</v>
      </c>
      <c r="D1708" s="2" t="s">
        <v>471</v>
      </c>
      <c r="E1708" s="1"/>
      <c r="F1708" s="2" t="s">
        <v>558</v>
      </c>
      <c r="H1708" s="2" t="s">
        <v>3887</v>
      </c>
      <c r="I1708" s="5"/>
      <c r="J1708" s="5"/>
      <c r="K1708" s="5"/>
      <c r="L1708" s="5"/>
      <c r="M1708" s="5" t="s">
        <v>191</v>
      </c>
      <c r="N1708" s="5">
        <v>37</v>
      </c>
      <c r="O1708" s="5">
        <v>25</v>
      </c>
      <c r="P1708" s="5">
        <f xml:space="preserve"> (0.251*N1708) + (0.641*O1708) - 13.025</f>
        <v>12.286999999999997</v>
      </c>
      <c r="Q1708" s="2" t="s">
        <v>376</v>
      </c>
      <c r="R1708" s="5"/>
      <c r="S1708" s="5"/>
      <c r="V1708" s="5"/>
      <c r="W1708" s="6" t="s">
        <v>2651</v>
      </c>
    </row>
    <row r="1709" spans="1:23" x14ac:dyDescent="0.15">
      <c r="A1709" s="2" t="s">
        <v>270</v>
      </c>
      <c r="C1709" s="2" t="s">
        <v>1073</v>
      </c>
      <c r="D1709" s="2" t="s">
        <v>787</v>
      </c>
      <c r="E1709" s="1"/>
      <c r="F1709" s="2" t="s">
        <v>29</v>
      </c>
      <c r="H1709" s="2" t="s">
        <v>3887</v>
      </c>
      <c r="I1709" s="5"/>
      <c r="J1709" s="5"/>
      <c r="K1709" s="5"/>
      <c r="L1709" s="5"/>
      <c r="M1709" s="4" t="s">
        <v>191</v>
      </c>
      <c r="N1709" s="5"/>
      <c r="O1709" s="5"/>
      <c r="P1709" s="5"/>
      <c r="R1709" s="5"/>
      <c r="S1709" s="5"/>
      <c r="V1709" s="5"/>
      <c r="W1709" s="6" t="s">
        <v>838</v>
      </c>
    </row>
    <row r="1710" spans="1:23" x14ac:dyDescent="0.15">
      <c r="A1710" s="2" t="s">
        <v>270</v>
      </c>
      <c r="C1710" s="2" t="s">
        <v>1073</v>
      </c>
      <c r="D1710" s="2" t="s">
        <v>788</v>
      </c>
      <c r="E1710" s="1"/>
      <c r="F1710" s="2" t="s">
        <v>29</v>
      </c>
      <c r="H1710" s="2" t="s">
        <v>3887</v>
      </c>
      <c r="I1710" s="5"/>
      <c r="J1710" s="5"/>
      <c r="K1710" s="5"/>
      <c r="L1710" s="5"/>
      <c r="M1710" s="4" t="s">
        <v>191</v>
      </c>
      <c r="N1710" s="5"/>
      <c r="O1710" s="5"/>
      <c r="P1710" s="5"/>
      <c r="R1710" s="5"/>
      <c r="S1710" s="5"/>
      <c r="V1710" s="5"/>
      <c r="W1710" s="6" t="s">
        <v>838</v>
      </c>
    </row>
    <row r="1711" spans="1:23" x14ac:dyDescent="0.15">
      <c r="A1711" s="2" t="s">
        <v>270</v>
      </c>
      <c r="C1711" s="2" t="s">
        <v>1073</v>
      </c>
      <c r="D1711" s="2" t="s">
        <v>789</v>
      </c>
      <c r="E1711" s="1"/>
      <c r="F1711" s="2" t="s">
        <v>374</v>
      </c>
      <c r="G1711" s="2" t="s">
        <v>374</v>
      </c>
      <c r="H1711" s="2" t="str">
        <f t="shared" si="57"/>
        <v>C</v>
      </c>
      <c r="I1711" s="5">
        <v>13.35</v>
      </c>
      <c r="J1711" s="5">
        <v>382.5</v>
      </c>
      <c r="K1711" s="7">
        <f>MEDIAN(7,8)</f>
        <v>7.5</v>
      </c>
      <c r="L1711" s="5">
        <v>10</v>
      </c>
      <c r="M1711" s="2" t="s">
        <v>191</v>
      </c>
      <c r="N1711" s="5">
        <v>31.25</v>
      </c>
      <c r="O1711" s="5">
        <v>20.5</v>
      </c>
      <c r="P1711" s="5">
        <f xml:space="preserve"> 0.251*N1711 + 0.641*O1711 - 13.025</f>
        <v>7.959249999999999</v>
      </c>
      <c r="Q1711" s="2" t="s">
        <v>376</v>
      </c>
      <c r="R1711" s="5">
        <v>79.59</v>
      </c>
      <c r="S1711" s="5">
        <v>20.81</v>
      </c>
      <c r="V1711" s="5"/>
      <c r="W1711" s="6" t="s">
        <v>3064</v>
      </c>
    </row>
    <row r="1712" spans="1:23" x14ac:dyDescent="0.15">
      <c r="A1712" s="2" t="s">
        <v>270</v>
      </c>
      <c r="C1712" s="2" t="s">
        <v>1073</v>
      </c>
      <c r="D1712" s="2" t="s">
        <v>790</v>
      </c>
      <c r="E1712" s="1"/>
      <c r="F1712" s="2" t="s">
        <v>29</v>
      </c>
      <c r="H1712" s="2" t="s">
        <v>3887</v>
      </c>
      <c r="I1712" s="5"/>
      <c r="J1712" s="5"/>
      <c r="K1712" s="5"/>
      <c r="L1712" s="5"/>
      <c r="M1712" s="4" t="s">
        <v>191</v>
      </c>
      <c r="N1712" s="5"/>
      <c r="O1712" s="5"/>
      <c r="P1712" s="5"/>
      <c r="R1712" s="5"/>
      <c r="S1712" s="5"/>
      <c r="V1712" s="5"/>
      <c r="W1712" s="6" t="s">
        <v>838</v>
      </c>
    </row>
    <row r="1713" spans="1:24" x14ac:dyDescent="0.15">
      <c r="A1713" s="2" t="s">
        <v>270</v>
      </c>
      <c r="C1713" s="2" t="s">
        <v>1076</v>
      </c>
      <c r="D1713" s="2" t="s">
        <v>791</v>
      </c>
      <c r="E1713" s="1"/>
      <c r="F1713" s="2" t="s">
        <v>2238</v>
      </c>
      <c r="G1713" s="2">
        <v>16.22</v>
      </c>
      <c r="H1713" s="2" t="str">
        <f t="shared" ref="H1713:H1744" si="58">IF(G1713="captive","C","W")</f>
        <v>W</v>
      </c>
      <c r="I1713" s="5">
        <v>22</v>
      </c>
      <c r="J1713" s="5">
        <f xml:space="preserve"> 0.02371*(G1713*10)^1.9736</f>
        <v>545.3658144754678</v>
      </c>
      <c r="K1713" s="5"/>
      <c r="L1713" s="7">
        <f>MEDIAN(7,10)</f>
        <v>8.5</v>
      </c>
      <c r="M1713" s="9" t="s">
        <v>191</v>
      </c>
      <c r="N1713" s="5"/>
      <c r="O1713" s="5"/>
      <c r="P1713" s="5"/>
      <c r="R1713" s="5"/>
      <c r="S1713" s="5"/>
      <c r="T1713" s="9">
        <f>MEDIAN(4,5)</f>
        <v>4.5</v>
      </c>
      <c r="U1713" s="2" t="str">
        <f>IF(T1713&lt;=1, "1",IF(AND(T1713&gt;1,T1713&lt;4), "2-3", "+4"))</f>
        <v>+4</v>
      </c>
      <c r="V1713" s="5"/>
      <c r="W1713" s="6" t="s">
        <v>3366</v>
      </c>
    </row>
    <row r="1714" spans="1:24" x14ac:dyDescent="0.15">
      <c r="A1714" s="2" t="s">
        <v>270</v>
      </c>
      <c r="C1714" s="2" t="s">
        <v>1076</v>
      </c>
      <c r="D1714" s="2" t="s">
        <v>791</v>
      </c>
      <c r="E1714" s="1"/>
      <c r="F1714" s="2" t="s">
        <v>302</v>
      </c>
      <c r="H1714" s="2" t="s">
        <v>3887</v>
      </c>
      <c r="I1714" s="5"/>
      <c r="J1714" s="5"/>
      <c r="K1714" s="5"/>
      <c r="L1714" s="5">
        <v>7</v>
      </c>
      <c r="M1714" s="5" t="s">
        <v>191</v>
      </c>
      <c r="N1714" s="5">
        <v>31.25</v>
      </c>
      <c r="O1714" s="5">
        <v>18.5</v>
      </c>
      <c r="P1714" s="5">
        <f xml:space="preserve"> (0.307*N1714) + (0.837*O1714) - 18.851</f>
        <v>6.227249999999998</v>
      </c>
      <c r="Q1714" s="2" t="s">
        <v>376</v>
      </c>
      <c r="R1714" s="5">
        <f>P1714*L1714</f>
        <v>43.590749999999986</v>
      </c>
      <c r="S1714" s="5"/>
      <c r="V1714" s="5"/>
      <c r="W1714" s="6" t="s">
        <v>2651</v>
      </c>
    </row>
    <row r="1715" spans="1:24" x14ac:dyDescent="0.15">
      <c r="A1715" s="2" t="s">
        <v>270</v>
      </c>
      <c r="C1715" s="2" t="s">
        <v>1076</v>
      </c>
      <c r="D1715" s="2" t="s">
        <v>791</v>
      </c>
      <c r="E1715" s="1"/>
      <c r="F1715" s="2" t="s">
        <v>2239</v>
      </c>
      <c r="G1715" s="2">
        <v>9.56</v>
      </c>
      <c r="H1715" s="2" t="str">
        <f t="shared" si="58"/>
        <v>W</v>
      </c>
      <c r="I1715" s="5">
        <v>16</v>
      </c>
      <c r="J1715" s="5">
        <f xml:space="preserve"> 0.02371*(G1715*10)^1.9736</f>
        <v>192.11587368398847</v>
      </c>
      <c r="K1715" s="5"/>
      <c r="L1715" s="7">
        <v>7</v>
      </c>
      <c r="M1715" s="9" t="s">
        <v>191</v>
      </c>
      <c r="N1715" s="5">
        <f>MEDIAN(29.5,33)</f>
        <v>31.25</v>
      </c>
      <c r="O1715" s="5">
        <f>MEDIAN(18,19)</f>
        <v>18.5</v>
      </c>
      <c r="P1715" s="5">
        <v>6.23</v>
      </c>
      <c r="Q1715" s="2" t="s">
        <v>376</v>
      </c>
      <c r="R1715" s="5">
        <v>43.59</v>
      </c>
      <c r="S1715" s="5">
        <f>(R1715/J1715)*100</f>
        <v>22.689431728947721</v>
      </c>
      <c r="T1715" s="9"/>
      <c r="U1715" s="9"/>
      <c r="V1715" s="5"/>
      <c r="W1715" s="6" t="s">
        <v>3065</v>
      </c>
    </row>
    <row r="1716" spans="1:24" x14ac:dyDescent="0.15">
      <c r="A1716" s="2" t="s">
        <v>270</v>
      </c>
      <c r="C1716" s="2" t="s">
        <v>1076</v>
      </c>
      <c r="D1716" s="2" t="s">
        <v>650</v>
      </c>
      <c r="E1716" s="1"/>
      <c r="F1716" s="2" t="s">
        <v>374</v>
      </c>
      <c r="G1716" s="2" t="s">
        <v>374</v>
      </c>
      <c r="H1716" s="2" t="str">
        <f t="shared" si="58"/>
        <v>C</v>
      </c>
      <c r="I1716" s="5">
        <v>26</v>
      </c>
      <c r="J1716" s="5">
        <v>2550</v>
      </c>
      <c r="K1716" s="5"/>
      <c r="L1716" s="5">
        <v>12</v>
      </c>
      <c r="M1716" s="2" t="s">
        <v>191</v>
      </c>
      <c r="N1716" s="5"/>
      <c r="O1716" s="5"/>
      <c r="P1716" s="5"/>
      <c r="R1716" s="5"/>
      <c r="S1716" s="5"/>
      <c r="V1716" s="5"/>
      <c r="W1716" s="6" t="s">
        <v>2628</v>
      </c>
    </row>
    <row r="1717" spans="1:24" x14ac:dyDescent="0.15">
      <c r="A1717" s="2" t="s">
        <v>270</v>
      </c>
      <c r="C1717" s="2" t="s">
        <v>1076</v>
      </c>
      <c r="D1717" s="2" t="s">
        <v>468</v>
      </c>
      <c r="E1717" s="1"/>
      <c r="F1717" s="2" t="s">
        <v>469</v>
      </c>
      <c r="G1717" s="2">
        <v>2.76</v>
      </c>
      <c r="H1717" s="2" t="str">
        <f t="shared" si="58"/>
        <v>W</v>
      </c>
      <c r="I1717" s="5">
        <v>14.5</v>
      </c>
      <c r="J1717" s="5">
        <v>442.5</v>
      </c>
      <c r="K1717" s="5"/>
      <c r="L1717" s="5">
        <v>17</v>
      </c>
      <c r="M1717" s="4" t="s">
        <v>191</v>
      </c>
      <c r="N1717" s="5">
        <v>27</v>
      </c>
      <c r="O1717" s="5">
        <v>17</v>
      </c>
      <c r="P1717" s="5">
        <v>4.593</v>
      </c>
      <c r="Q1717" s="2" t="s">
        <v>376</v>
      </c>
      <c r="R1717" s="7">
        <f>P1717*L1717</f>
        <v>78.081000000000003</v>
      </c>
      <c r="S1717" s="5">
        <f>(R1717/J1717)*100</f>
        <v>17.645423728813562</v>
      </c>
      <c r="T1717" s="2">
        <v>1</v>
      </c>
      <c r="U1717" s="2" t="str">
        <f>IF(T1717&lt;=1, "1",IF(AND(T1717&gt;1,T1717&lt;4), "2-3", "+4"))</f>
        <v>1</v>
      </c>
      <c r="V1717" s="5">
        <f>S1717*T1717</f>
        <v>17.645423728813562</v>
      </c>
      <c r="W1717" s="6" t="s">
        <v>3066</v>
      </c>
    </row>
    <row r="1718" spans="1:24" x14ac:dyDescent="0.15">
      <c r="A1718" s="2" t="s">
        <v>270</v>
      </c>
      <c r="C1718" s="2" t="s">
        <v>1076</v>
      </c>
      <c r="D1718" s="2" t="s">
        <v>792</v>
      </c>
      <c r="E1718" s="1"/>
      <c r="F1718" s="2" t="s">
        <v>374</v>
      </c>
      <c r="G1718" s="2" t="s">
        <v>374</v>
      </c>
      <c r="H1718" s="2" t="str">
        <f t="shared" si="58"/>
        <v>C</v>
      </c>
      <c r="I1718" s="5">
        <v>21.75</v>
      </c>
      <c r="J1718" s="5">
        <v>1495</v>
      </c>
      <c r="K1718" s="5"/>
      <c r="L1718" s="5">
        <v>18</v>
      </c>
      <c r="M1718" s="5" t="s">
        <v>191</v>
      </c>
      <c r="N1718" s="5">
        <v>36</v>
      </c>
      <c r="O1718" s="5">
        <v>21</v>
      </c>
      <c r="P1718" s="5">
        <f xml:space="preserve"> (0.251*N1718) + (0.641*O1718) - 13.025</f>
        <v>9.4719999999999995</v>
      </c>
      <c r="Q1718" s="2" t="s">
        <v>376</v>
      </c>
      <c r="R1718" s="5">
        <f>P1718*L1718</f>
        <v>170.49599999999998</v>
      </c>
      <c r="S1718" s="5">
        <f>(R1718/J1718)*100</f>
        <v>11.404414715719062</v>
      </c>
      <c r="V1718" s="5"/>
      <c r="W1718" s="6" t="s">
        <v>3067</v>
      </c>
    </row>
    <row r="1719" spans="1:24" x14ac:dyDescent="0.15">
      <c r="A1719" s="2" t="s">
        <v>270</v>
      </c>
      <c r="C1719" s="2" t="s">
        <v>1076</v>
      </c>
      <c r="D1719" s="2" t="s">
        <v>470</v>
      </c>
      <c r="E1719" s="1"/>
      <c r="F1719" s="2" t="s">
        <v>374</v>
      </c>
      <c r="G1719" s="2" t="s">
        <v>374</v>
      </c>
      <c r="H1719" s="2" t="str">
        <f t="shared" si="58"/>
        <v>C</v>
      </c>
      <c r="I1719" s="5">
        <v>19</v>
      </c>
      <c r="J1719" s="5">
        <v>977.5</v>
      </c>
      <c r="K1719" s="5"/>
      <c r="L1719" s="5">
        <v>16</v>
      </c>
      <c r="M1719" s="5" t="s">
        <v>191</v>
      </c>
      <c r="N1719" s="5">
        <f>MEDIAN(36,39)</f>
        <v>37.5</v>
      </c>
      <c r="O1719" s="5">
        <f>MEDIAN(21,26)</f>
        <v>23.5</v>
      </c>
      <c r="P1719" s="7">
        <f>MEDIAN(9.47,13.43)</f>
        <v>11.45</v>
      </c>
      <c r="Q1719" s="2" t="s">
        <v>376</v>
      </c>
      <c r="R1719" s="7">
        <f>L1719*P1719</f>
        <v>183.2</v>
      </c>
      <c r="S1719" s="5">
        <f>(R1719/J1719)*100</f>
        <v>18.741687979539641</v>
      </c>
      <c r="V1719" s="5"/>
      <c r="W1719" s="6" t="s">
        <v>3068</v>
      </c>
    </row>
    <row r="1720" spans="1:24" x14ac:dyDescent="0.15">
      <c r="A1720" s="2" t="s">
        <v>270</v>
      </c>
      <c r="C1720" s="2" t="s">
        <v>1076</v>
      </c>
      <c r="D1720" s="2" t="s">
        <v>470</v>
      </c>
      <c r="E1720" s="1"/>
      <c r="F1720" s="2" t="s">
        <v>374</v>
      </c>
      <c r="G1720" s="2" t="s">
        <v>374</v>
      </c>
      <c r="H1720" s="2" t="str">
        <f t="shared" si="58"/>
        <v>C</v>
      </c>
      <c r="I1720" s="5">
        <v>24</v>
      </c>
      <c r="J1720" s="5">
        <v>1740</v>
      </c>
      <c r="K1720" s="5">
        <v>5</v>
      </c>
      <c r="L1720" s="5">
        <v>26.33</v>
      </c>
      <c r="M1720" s="5" t="s">
        <v>191</v>
      </c>
      <c r="N1720" s="5"/>
      <c r="O1720" s="5"/>
      <c r="P1720" s="5"/>
      <c r="R1720" s="5"/>
      <c r="S1720" s="5"/>
      <c r="T1720" s="9">
        <f>MEDIAN(1,2)</f>
        <v>1.5</v>
      </c>
      <c r="U1720" s="2" t="str">
        <f>IF(T1720&lt;=1, "1",IF(AND(T1720&gt;1,T1720&lt;4), "2-3", "+4"))</f>
        <v>2-3</v>
      </c>
      <c r="V1720" s="5"/>
      <c r="W1720" s="6" t="s">
        <v>3069</v>
      </c>
    </row>
    <row r="1721" spans="1:24" x14ac:dyDescent="0.15">
      <c r="A1721" s="2" t="s">
        <v>270</v>
      </c>
      <c r="C1721" s="2" t="s">
        <v>1076</v>
      </c>
      <c r="D1721" s="2" t="s">
        <v>470</v>
      </c>
      <c r="E1721" s="1"/>
      <c r="F1721" s="2" t="s">
        <v>271</v>
      </c>
      <c r="G1721" s="2">
        <v>-1.65</v>
      </c>
      <c r="H1721" s="2" t="str">
        <f t="shared" si="58"/>
        <v>W</v>
      </c>
      <c r="I1721" s="5">
        <v>13.1</v>
      </c>
      <c r="J1721" s="5">
        <v>359</v>
      </c>
      <c r="K1721" s="5"/>
      <c r="L1721" s="7">
        <f>MEDIAN(1,9)</f>
        <v>5</v>
      </c>
      <c r="M1721" s="25" t="s">
        <v>191</v>
      </c>
      <c r="N1721" s="7">
        <v>34.5</v>
      </c>
      <c r="O1721" s="5">
        <v>20.5</v>
      </c>
      <c r="P1721" s="5">
        <v>8</v>
      </c>
      <c r="Q1721" s="2" t="s">
        <v>18</v>
      </c>
      <c r="R1721" s="5">
        <v>72</v>
      </c>
      <c r="S1721" s="5">
        <v>20.059999999999999</v>
      </c>
      <c r="T1721" s="2">
        <v>2</v>
      </c>
      <c r="U1721" s="2" t="str">
        <f>IF(T1721&lt;=1, "1",IF(AND(T1721&gt;1,T1721&lt;4), "2-3", "+4"))</f>
        <v>2-3</v>
      </c>
      <c r="V1721" s="5">
        <f>S1721*T1721</f>
        <v>40.119999999999997</v>
      </c>
      <c r="W1721" s="6" t="s">
        <v>2717</v>
      </c>
    </row>
    <row r="1722" spans="1:24" x14ac:dyDescent="0.15">
      <c r="A1722" s="2" t="s">
        <v>270</v>
      </c>
      <c r="C1722" s="2" t="s">
        <v>1076</v>
      </c>
      <c r="D1722" s="2" t="s">
        <v>470</v>
      </c>
      <c r="E1722" s="1"/>
      <c r="F1722" s="2" t="s">
        <v>484</v>
      </c>
      <c r="G1722" s="2">
        <v>-1.5</v>
      </c>
      <c r="H1722" s="2" t="str">
        <f t="shared" si="58"/>
        <v>W</v>
      </c>
      <c r="I1722" s="5"/>
      <c r="J1722" s="5"/>
      <c r="K1722" s="5"/>
      <c r="L1722" s="5"/>
      <c r="M1722" s="2" t="s">
        <v>191</v>
      </c>
      <c r="N1722" s="5">
        <v>34.799999999999997</v>
      </c>
      <c r="O1722" s="5">
        <v>24.6</v>
      </c>
      <c r="P1722" s="5">
        <v>11.8</v>
      </c>
      <c r="Q1722" s="2" t="s">
        <v>18</v>
      </c>
      <c r="R1722" s="5"/>
      <c r="S1722" s="5"/>
      <c r="T1722" s="2" t="s">
        <v>372</v>
      </c>
      <c r="U1722" s="40" t="s">
        <v>395</v>
      </c>
      <c r="V1722" s="5"/>
      <c r="W1722" s="6" t="s">
        <v>2541</v>
      </c>
    </row>
    <row r="1723" spans="1:24" x14ac:dyDescent="0.15">
      <c r="A1723" s="2" t="s">
        <v>270</v>
      </c>
      <c r="C1723" s="2" t="s">
        <v>1076</v>
      </c>
      <c r="D1723" s="2" t="s">
        <v>470</v>
      </c>
      <c r="E1723" s="1"/>
      <c r="F1723" s="2" t="s">
        <v>3916</v>
      </c>
      <c r="G1723" s="2">
        <v>7</v>
      </c>
      <c r="H1723" s="2" t="str">
        <f t="shared" si="58"/>
        <v>W</v>
      </c>
      <c r="I1723" s="5">
        <v>24.4</v>
      </c>
      <c r="J1723" s="5">
        <v>723</v>
      </c>
      <c r="K1723" s="5"/>
      <c r="L1723" s="5"/>
      <c r="M1723" s="2" t="s">
        <v>191</v>
      </c>
      <c r="N1723" s="5"/>
      <c r="O1723" s="5"/>
      <c r="P1723" s="5"/>
      <c r="R1723" s="5"/>
      <c r="S1723" s="5"/>
      <c r="V1723" s="5"/>
      <c r="W1723" s="6" t="s">
        <v>2050</v>
      </c>
    </row>
    <row r="1724" spans="1:24" x14ac:dyDescent="0.15">
      <c r="A1724" s="2" t="s">
        <v>270</v>
      </c>
      <c r="C1724" s="2" t="s">
        <v>1076</v>
      </c>
      <c r="D1724" s="2" t="s">
        <v>470</v>
      </c>
      <c r="E1724" s="1"/>
      <c r="F1724" s="2" t="s">
        <v>374</v>
      </c>
      <c r="G1724" s="2" t="s">
        <v>374</v>
      </c>
      <c r="H1724" s="2" t="str">
        <f t="shared" si="58"/>
        <v>C</v>
      </c>
      <c r="I1724" s="5">
        <v>18.399999999999999</v>
      </c>
      <c r="J1724" s="5">
        <v>975</v>
      </c>
      <c r="K1724" s="5"/>
      <c r="L1724" s="5">
        <v>13.375</v>
      </c>
      <c r="M1724" s="5" t="s">
        <v>191</v>
      </c>
      <c r="N1724" s="5">
        <v>36.5</v>
      </c>
      <c r="O1724" s="5">
        <v>20.5</v>
      </c>
      <c r="P1724" s="5">
        <f xml:space="preserve"> 0.307*N1724 + 0.837*O1724 - 18.851</f>
        <v>9.5130000000000017</v>
      </c>
      <c r="Q1724" s="2" t="s">
        <v>376</v>
      </c>
      <c r="R1724" s="7">
        <f>P1724*L1724</f>
        <v>127.23637500000002</v>
      </c>
      <c r="S1724" s="5">
        <f>(R1724/J1724)*100</f>
        <v>13.049884615384618</v>
      </c>
      <c r="T1724" s="2">
        <v>1</v>
      </c>
      <c r="U1724" s="2" t="str">
        <f>IF(T1724&lt;=1, "1",IF(AND(T1724&gt;1,T1724&lt;4), "2-3", "+4"))</f>
        <v>1</v>
      </c>
      <c r="V1724" s="5">
        <f>S1724*T1724</f>
        <v>13.049884615384618</v>
      </c>
      <c r="W1724" s="6" t="s">
        <v>3070</v>
      </c>
    </row>
    <row r="1725" spans="1:24" x14ac:dyDescent="0.15">
      <c r="A1725" s="2" t="s">
        <v>270</v>
      </c>
      <c r="C1725" s="2" t="s">
        <v>1076</v>
      </c>
      <c r="D1725" s="1" t="s">
        <v>652</v>
      </c>
      <c r="E1725" s="1"/>
      <c r="F1725" s="2" t="s">
        <v>374</v>
      </c>
      <c r="G1725" s="2" t="s">
        <v>374</v>
      </c>
      <c r="H1725" s="2" t="str">
        <f t="shared" si="58"/>
        <v>C</v>
      </c>
      <c r="I1725" s="5">
        <v>19.25</v>
      </c>
      <c r="J1725" s="5">
        <v>1095.8</v>
      </c>
      <c r="K1725" s="5"/>
      <c r="L1725" s="5">
        <v>21</v>
      </c>
      <c r="M1725" s="4" t="s">
        <v>191</v>
      </c>
      <c r="N1725" s="5"/>
      <c r="O1725" s="5"/>
      <c r="P1725" s="5"/>
      <c r="R1725" s="5"/>
      <c r="S1725" s="5"/>
      <c r="V1725" s="5"/>
      <c r="W1725" s="6" t="s">
        <v>2532</v>
      </c>
    </row>
    <row r="1726" spans="1:24" x14ac:dyDescent="0.15">
      <c r="A1726" s="2" t="s">
        <v>270</v>
      </c>
      <c r="C1726" s="1" t="s">
        <v>1076</v>
      </c>
      <c r="D1726" s="1" t="s">
        <v>652</v>
      </c>
      <c r="E1726" s="1"/>
      <c r="F1726" s="1" t="s">
        <v>371</v>
      </c>
      <c r="G1726" s="1">
        <v>-27</v>
      </c>
      <c r="H1726" s="2" t="str">
        <f t="shared" si="58"/>
        <v>W</v>
      </c>
      <c r="I1726" s="8"/>
      <c r="J1726" s="8"/>
      <c r="K1726" s="8"/>
      <c r="L1726" s="8">
        <v>25</v>
      </c>
      <c r="M1726" s="4" t="s">
        <v>191</v>
      </c>
      <c r="N1726" s="5">
        <v>31.5</v>
      </c>
      <c r="O1726" s="8">
        <v>22.25</v>
      </c>
      <c r="P1726" s="5">
        <f xml:space="preserve"> 0.445*N1726 + 1.318*O1726 - 34.683</f>
        <v>8.6600000000000037</v>
      </c>
      <c r="Q1726" s="1" t="s">
        <v>376</v>
      </c>
      <c r="R1726" s="5">
        <f>P1726*L1726</f>
        <v>216.50000000000009</v>
      </c>
      <c r="S1726" s="8"/>
      <c r="T1726" s="2">
        <v>1</v>
      </c>
      <c r="U1726" s="2" t="str">
        <f>IF(T1726&lt;=1, "1",IF(AND(T1726&gt;1,T1726&lt;4), "2-3", "+4"))</f>
        <v>1</v>
      </c>
      <c r="V1726" s="5"/>
      <c r="W1726" s="6" t="s">
        <v>1929</v>
      </c>
      <c r="X1726" s="1"/>
    </row>
    <row r="1727" spans="1:24" x14ac:dyDescent="0.15">
      <c r="A1727" s="2" t="s">
        <v>270</v>
      </c>
      <c r="C1727" s="2" t="s">
        <v>1076</v>
      </c>
      <c r="D1727" s="1" t="s">
        <v>652</v>
      </c>
      <c r="E1727" s="1"/>
      <c r="F1727" s="2" t="s">
        <v>4071</v>
      </c>
      <c r="G1727" s="2" t="s">
        <v>374</v>
      </c>
      <c r="H1727" s="2" t="str">
        <f t="shared" si="58"/>
        <v>C</v>
      </c>
      <c r="I1727" s="5"/>
      <c r="J1727" s="5"/>
      <c r="K1727" s="5">
        <v>2.5</v>
      </c>
      <c r="L1727" s="5"/>
      <c r="M1727" s="4"/>
      <c r="N1727" s="5"/>
      <c r="O1727" s="5"/>
      <c r="P1727" s="5"/>
      <c r="R1727" s="5"/>
      <c r="S1727" s="5"/>
      <c r="V1727" s="5"/>
      <c r="W1727" s="6" t="s">
        <v>4069</v>
      </c>
    </row>
    <row r="1728" spans="1:24" x14ac:dyDescent="0.15">
      <c r="A1728" s="2" t="s">
        <v>270</v>
      </c>
      <c r="C1728" s="2" t="s">
        <v>1076</v>
      </c>
      <c r="D1728" s="2" t="s">
        <v>793</v>
      </c>
      <c r="E1728" s="1"/>
      <c r="F1728" s="2" t="s">
        <v>3560</v>
      </c>
      <c r="G1728" s="2">
        <v>1.77</v>
      </c>
      <c r="H1728" s="2" t="str">
        <f t="shared" si="58"/>
        <v>W</v>
      </c>
      <c r="I1728" s="5"/>
      <c r="J1728" s="5"/>
      <c r="K1728" s="5"/>
      <c r="L1728" s="5">
        <v>7</v>
      </c>
      <c r="M1728" s="4" t="s">
        <v>191</v>
      </c>
      <c r="N1728" s="5">
        <v>35</v>
      </c>
      <c r="O1728" s="5"/>
      <c r="P1728" s="5"/>
      <c r="R1728" s="5"/>
      <c r="S1728" s="5"/>
      <c r="V1728" s="5"/>
      <c r="W1728" s="6" t="s">
        <v>3561</v>
      </c>
    </row>
    <row r="1729" spans="1:23" x14ac:dyDescent="0.15">
      <c r="A1729" s="2" t="s">
        <v>270</v>
      </c>
      <c r="C1729" s="2" t="s">
        <v>1076</v>
      </c>
      <c r="D1729" s="2" t="s">
        <v>794</v>
      </c>
      <c r="E1729" s="1"/>
      <c r="F1729" s="2" t="s">
        <v>374</v>
      </c>
      <c r="G1729" s="2" t="s">
        <v>374</v>
      </c>
      <c r="H1729" s="2" t="str">
        <f t="shared" si="58"/>
        <v>C</v>
      </c>
      <c r="I1729" s="5">
        <v>16.73</v>
      </c>
      <c r="J1729" s="5">
        <v>605.29999999999995</v>
      </c>
      <c r="K1729" s="5"/>
      <c r="L1729" s="5">
        <v>4</v>
      </c>
      <c r="M1729" s="4" t="s">
        <v>191</v>
      </c>
      <c r="N1729" s="5">
        <v>50.92</v>
      </c>
      <c r="O1729" s="5">
        <v>24.5</v>
      </c>
      <c r="P1729" s="5">
        <v>19.25</v>
      </c>
      <c r="Q1729" s="2" t="s">
        <v>18</v>
      </c>
      <c r="R1729" s="5">
        <v>77</v>
      </c>
      <c r="S1729" s="5">
        <v>12.72</v>
      </c>
      <c r="V1729" s="5"/>
      <c r="W1729" s="6" t="s">
        <v>3071</v>
      </c>
    </row>
    <row r="1730" spans="1:23" x14ac:dyDescent="0.15">
      <c r="A1730" s="2" t="s">
        <v>270</v>
      </c>
      <c r="C1730" s="2" t="s">
        <v>1076</v>
      </c>
      <c r="D1730" s="2" t="s">
        <v>795</v>
      </c>
      <c r="E1730" s="1"/>
      <c r="F1730" s="2" t="s">
        <v>3555</v>
      </c>
      <c r="H1730" s="2" t="str">
        <f t="shared" si="58"/>
        <v>W</v>
      </c>
      <c r="I1730" s="5"/>
      <c r="J1730" s="5"/>
      <c r="K1730" s="5"/>
      <c r="L1730" s="5">
        <v>12</v>
      </c>
      <c r="M1730" s="4" t="s">
        <v>191</v>
      </c>
      <c r="N1730" s="5">
        <v>35</v>
      </c>
      <c r="O1730" s="5">
        <v>25</v>
      </c>
      <c r="P1730" s="5">
        <v>13.842000000000001</v>
      </c>
      <c r="Q1730" s="2" t="s">
        <v>376</v>
      </c>
      <c r="R1730" s="5">
        <f>P1730*L1730</f>
        <v>166.10400000000001</v>
      </c>
      <c r="S1730" s="5"/>
      <c r="V1730" s="5"/>
      <c r="W1730" s="6" t="s">
        <v>3556</v>
      </c>
    </row>
    <row r="1731" spans="1:23" x14ac:dyDescent="0.15">
      <c r="A1731" s="2" t="s">
        <v>270</v>
      </c>
      <c r="C1731" s="2" t="s">
        <v>1076</v>
      </c>
      <c r="D1731" s="2" t="s">
        <v>653</v>
      </c>
      <c r="E1731" s="1"/>
      <c r="F1731" s="2" t="s">
        <v>484</v>
      </c>
      <c r="G1731" s="2">
        <v>-1.5</v>
      </c>
      <c r="H1731" s="2" t="str">
        <f t="shared" si="58"/>
        <v>W</v>
      </c>
      <c r="I1731" s="5"/>
      <c r="J1731" s="5"/>
      <c r="K1731" s="5"/>
      <c r="L1731" s="5"/>
      <c r="M1731" s="4" t="s">
        <v>191</v>
      </c>
      <c r="N1731" s="5">
        <v>45</v>
      </c>
      <c r="O1731" s="5">
        <v>20.5</v>
      </c>
      <c r="P1731" s="5">
        <v>9</v>
      </c>
      <c r="Q1731" s="2" t="s">
        <v>18</v>
      </c>
      <c r="R1731" s="5"/>
      <c r="S1731" s="5"/>
      <c r="V1731" s="5"/>
      <c r="W1731" s="6" t="s">
        <v>2541</v>
      </c>
    </row>
    <row r="1732" spans="1:23" x14ac:dyDescent="0.15">
      <c r="A1732" s="2" t="s">
        <v>270</v>
      </c>
      <c r="C1732" s="2" t="s">
        <v>1076</v>
      </c>
      <c r="D1732" s="2" t="s">
        <v>465</v>
      </c>
      <c r="E1732" s="1"/>
      <c r="F1732" s="2" t="s">
        <v>374</v>
      </c>
      <c r="G1732" s="2" t="s">
        <v>374</v>
      </c>
      <c r="H1732" s="2" t="str">
        <f t="shared" si="58"/>
        <v>C</v>
      </c>
      <c r="I1732" s="5">
        <v>9.17</v>
      </c>
      <c r="J1732" s="5">
        <v>110</v>
      </c>
      <c r="K1732" s="5"/>
      <c r="L1732" s="5">
        <v>6</v>
      </c>
      <c r="M1732" s="4" t="s">
        <v>191</v>
      </c>
      <c r="N1732" s="5">
        <v>30</v>
      </c>
      <c r="O1732" s="5"/>
      <c r="P1732" s="5">
        <v>4.1669999999999998</v>
      </c>
      <c r="Q1732" s="2" t="s">
        <v>18</v>
      </c>
      <c r="R1732" s="5">
        <v>25</v>
      </c>
      <c r="S1732" s="5">
        <v>22.73</v>
      </c>
      <c r="V1732" s="5"/>
      <c r="W1732" s="6" t="s">
        <v>1855</v>
      </c>
    </row>
    <row r="1733" spans="1:23" x14ac:dyDescent="0.15">
      <c r="A1733" s="2" t="s">
        <v>270</v>
      </c>
      <c r="C1733" s="2" t="s">
        <v>1076</v>
      </c>
      <c r="D1733" s="2" t="s">
        <v>465</v>
      </c>
      <c r="E1733" s="1"/>
      <c r="F1733" s="2" t="s">
        <v>272</v>
      </c>
      <c r="G1733" s="2">
        <v>-11.75</v>
      </c>
      <c r="H1733" s="2" t="str">
        <f t="shared" si="58"/>
        <v>W</v>
      </c>
      <c r="I1733" s="5">
        <v>11.9</v>
      </c>
      <c r="J1733" s="5">
        <v>259.2</v>
      </c>
      <c r="K1733" s="5"/>
      <c r="L1733" s="5">
        <v>5</v>
      </c>
      <c r="M1733" s="4" t="s">
        <v>191</v>
      </c>
      <c r="N1733" s="5">
        <v>29.3</v>
      </c>
      <c r="O1733" s="5">
        <v>16.600000000000001</v>
      </c>
      <c r="P1733" s="5">
        <v>4.24</v>
      </c>
      <c r="Q1733" s="2" t="s">
        <v>18</v>
      </c>
      <c r="R1733" s="5">
        <v>21.2</v>
      </c>
      <c r="S1733" s="5">
        <v>8.1790000000000003</v>
      </c>
      <c r="V1733" s="5"/>
      <c r="W1733" s="6" t="s">
        <v>3072</v>
      </c>
    </row>
    <row r="1734" spans="1:23" x14ac:dyDescent="0.15">
      <c r="A1734" s="2" t="s">
        <v>270</v>
      </c>
      <c r="C1734" s="2" t="s">
        <v>1076</v>
      </c>
      <c r="D1734" s="2" t="s">
        <v>654</v>
      </c>
      <c r="E1734" s="1"/>
      <c r="F1734" s="2" t="s">
        <v>1918</v>
      </c>
      <c r="G1734" s="2">
        <v>5.31</v>
      </c>
      <c r="H1734" s="2" t="str">
        <f t="shared" si="58"/>
        <v>W</v>
      </c>
      <c r="I1734" s="5">
        <v>25.77</v>
      </c>
      <c r="J1734" s="5">
        <v>1510</v>
      </c>
      <c r="K1734" s="5"/>
      <c r="L1734" s="5">
        <v>25</v>
      </c>
      <c r="M1734" s="2" t="s">
        <v>191</v>
      </c>
      <c r="N1734" s="5">
        <v>35.5</v>
      </c>
      <c r="O1734" s="5"/>
      <c r="P1734" s="5">
        <v>8.8330000000000002</v>
      </c>
      <c r="Q1734" s="2" t="s">
        <v>376</v>
      </c>
      <c r="R1734" s="5">
        <v>220.84</v>
      </c>
      <c r="S1734" s="5">
        <v>14.62</v>
      </c>
      <c r="V1734" s="5"/>
      <c r="W1734" s="6" t="s">
        <v>3073</v>
      </c>
    </row>
    <row r="1735" spans="1:23" x14ac:dyDescent="0.15">
      <c r="A1735" s="2" t="s">
        <v>270</v>
      </c>
      <c r="C1735" s="2" t="s">
        <v>1076</v>
      </c>
      <c r="D1735" s="2" t="s">
        <v>654</v>
      </c>
      <c r="E1735" s="1"/>
      <c r="F1735" s="2" t="s">
        <v>484</v>
      </c>
      <c r="G1735" s="2">
        <v>-1.5</v>
      </c>
      <c r="H1735" s="2" t="str">
        <f t="shared" si="58"/>
        <v>W</v>
      </c>
      <c r="I1735" s="5"/>
      <c r="J1735" s="5"/>
      <c r="K1735" s="5"/>
      <c r="L1735" s="5">
        <v>8</v>
      </c>
      <c r="M1735" s="2" t="s">
        <v>191</v>
      </c>
      <c r="N1735" s="5">
        <v>47.5</v>
      </c>
      <c r="O1735" s="5">
        <v>24.4</v>
      </c>
      <c r="P1735" s="5">
        <v>17.8</v>
      </c>
      <c r="Q1735" s="2" t="s">
        <v>18</v>
      </c>
      <c r="R1735" s="5">
        <v>142.4</v>
      </c>
      <c r="S1735" s="5"/>
      <c r="V1735" s="5"/>
      <c r="W1735" s="6" t="s">
        <v>2541</v>
      </c>
    </row>
    <row r="1736" spans="1:23" x14ac:dyDescent="0.15">
      <c r="A1736" s="2" t="s">
        <v>270</v>
      </c>
      <c r="C1736" s="2" t="s">
        <v>1076</v>
      </c>
      <c r="D1736" s="2" t="s">
        <v>651</v>
      </c>
      <c r="E1736" s="1"/>
      <c r="F1736" s="2" t="s">
        <v>304</v>
      </c>
      <c r="G1736" s="2">
        <v>-27</v>
      </c>
      <c r="H1736" s="2" t="str">
        <f t="shared" si="58"/>
        <v>W</v>
      </c>
      <c r="I1736" s="5">
        <v>23</v>
      </c>
      <c r="J1736" s="5">
        <v>900</v>
      </c>
      <c r="K1736" s="5"/>
      <c r="L1736" s="5">
        <v>12.5</v>
      </c>
      <c r="M1736" s="2" t="s">
        <v>191</v>
      </c>
      <c r="N1736" s="5">
        <v>35</v>
      </c>
      <c r="O1736" s="5">
        <v>21.5</v>
      </c>
      <c r="P1736" s="5">
        <f xml:space="preserve"> 0.307*35 + 0.837*O1736 - 18.851</f>
        <v>9.8894999999999982</v>
      </c>
      <c r="Q1736" s="2" t="s">
        <v>376</v>
      </c>
      <c r="R1736" s="5">
        <v>118.5</v>
      </c>
      <c r="S1736" s="5">
        <f>(R1736/J1736)*100</f>
        <v>13.166666666666666</v>
      </c>
      <c r="V1736" s="5"/>
      <c r="W1736" s="6" t="s">
        <v>1929</v>
      </c>
    </row>
    <row r="1737" spans="1:23" x14ac:dyDescent="0.15">
      <c r="A1737" s="2" t="s">
        <v>270</v>
      </c>
      <c r="C1737" s="2" t="s">
        <v>1076</v>
      </c>
      <c r="D1737" s="2" t="s">
        <v>651</v>
      </c>
      <c r="E1737" s="1"/>
      <c r="F1737" s="2" t="s">
        <v>272</v>
      </c>
      <c r="G1737" s="2">
        <v>-15.6</v>
      </c>
      <c r="H1737" s="2" t="str">
        <f t="shared" si="58"/>
        <v>W</v>
      </c>
      <c r="I1737" s="5">
        <v>19.899999999999999</v>
      </c>
      <c r="J1737" s="5">
        <v>1023.3</v>
      </c>
      <c r="K1737" s="5"/>
      <c r="L1737" s="5">
        <v>18</v>
      </c>
      <c r="M1737" s="2" t="s">
        <v>191</v>
      </c>
      <c r="N1737" s="5"/>
      <c r="O1737" s="5">
        <f>MEDIAN(22,23)</f>
        <v>22.5</v>
      </c>
      <c r="P1737" s="5"/>
      <c r="R1737" s="5"/>
      <c r="S1737" s="5"/>
      <c r="V1737" s="5"/>
      <c r="W1737" s="6" t="s">
        <v>3359</v>
      </c>
    </row>
    <row r="1738" spans="1:23" x14ac:dyDescent="0.15">
      <c r="A1738" s="2" t="s">
        <v>270</v>
      </c>
      <c r="C1738" s="2" t="s">
        <v>1076</v>
      </c>
      <c r="D1738" s="2" t="s">
        <v>651</v>
      </c>
      <c r="E1738" s="1"/>
      <c r="F1738" s="2" t="s">
        <v>273</v>
      </c>
      <c r="G1738" s="2">
        <v>-16.600000000000001</v>
      </c>
      <c r="H1738" s="2" t="str">
        <f t="shared" si="58"/>
        <v>W</v>
      </c>
      <c r="I1738" s="5">
        <v>17</v>
      </c>
      <c r="J1738" s="5">
        <v>724.27</v>
      </c>
      <c r="K1738" s="5"/>
      <c r="L1738" s="5">
        <v>13</v>
      </c>
      <c r="M1738" s="2" t="s">
        <v>191</v>
      </c>
      <c r="N1738" s="5"/>
      <c r="O1738" s="5">
        <v>20</v>
      </c>
      <c r="P1738" s="5"/>
      <c r="R1738" s="5"/>
      <c r="S1738" s="5"/>
      <c r="V1738" s="5"/>
      <c r="W1738" s="6" t="s">
        <v>3359</v>
      </c>
    </row>
    <row r="1739" spans="1:23" x14ac:dyDescent="0.15">
      <c r="A1739" s="2" t="s">
        <v>270</v>
      </c>
      <c r="C1739" s="2" t="s">
        <v>1076</v>
      </c>
      <c r="D1739" s="2" t="s">
        <v>504</v>
      </c>
      <c r="E1739" s="1" t="s">
        <v>1075</v>
      </c>
      <c r="F1739" s="2" t="s">
        <v>503</v>
      </c>
      <c r="G1739" s="2">
        <v>-28.36</v>
      </c>
      <c r="H1739" s="2" t="str">
        <f t="shared" si="58"/>
        <v>W</v>
      </c>
      <c r="I1739" s="5"/>
      <c r="J1739" s="5"/>
      <c r="K1739" s="5"/>
      <c r="L1739" s="5">
        <v>25</v>
      </c>
      <c r="M1739" s="5" t="s">
        <v>191</v>
      </c>
      <c r="N1739" s="5">
        <v>43.88</v>
      </c>
      <c r="O1739" s="5">
        <v>25.22</v>
      </c>
      <c r="P1739" s="5">
        <v>19.8</v>
      </c>
      <c r="Q1739" s="2" t="s">
        <v>18</v>
      </c>
      <c r="R1739" s="5">
        <v>495</v>
      </c>
      <c r="S1739" s="5"/>
      <c r="V1739" s="5"/>
      <c r="W1739" s="6" t="s">
        <v>3074</v>
      </c>
    </row>
    <row r="1740" spans="1:23" x14ac:dyDescent="0.15">
      <c r="A1740" s="2" t="s">
        <v>270</v>
      </c>
      <c r="C1740" s="2" t="s">
        <v>1076</v>
      </c>
      <c r="D1740" s="2" t="s">
        <v>504</v>
      </c>
      <c r="E1740" s="1" t="s">
        <v>1075</v>
      </c>
      <c r="F1740" s="2" t="s">
        <v>876</v>
      </c>
      <c r="G1740" s="2">
        <v>-24</v>
      </c>
      <c r="H1740" s="2" t="str">
        <f t="shared" si="58"/>
        <v>W</v>
      </c>
      <c r="I1740" s="5"/>
      <c r="J1740" s="5"/>
      <c r="K1740" s="5"/>
      <c r="L1740" s="5"/>
      <c r="M1740" s="22" t="s">
        <v>191</v>
      </c>
      <c r="N1740" s="5">
        <v>39.869999999999997</v>
      </c>
      <c r="O1740" s="5">
        <v>22.31</v>
      </c>
      <c r="P1740" s="5">
        <v>12.27</v>
      </c>
      <c r="Q1740" s="2" t="s">
        <v>18</v>
      </c>
      <c r="R1740" s="5"/>
      <c r="S1740" s="5"/>
      <c r="T1740" s="2">
        <v>1</v>
      </c>
      <c r="U1740" s="2" t="str">
        <f>IF(T1740&lt;=1, "1",IF(AND(T1740&gt;1,T1740&lt;4), "2-3", "+4"))</f>
        <v>1</v>
      </c>
      <c r="V1740" s="5"/>
      <c r="W1740" s="6" t="s">
        <v>1929</v>
      </c>
    </row>
    <row r="1741" spans="1:23" x14ac:dyDescent="0.15">
      <c r="A1741" s="2" t="s">
        <v>270</v>
      </c>
      <c r="C1741" s="2" t="s">
        <v>1076</v>
      </c>
      <c r="D1741" s="2" t="s">
        <v>504</v>
      </c>
      <c r="E1741" s="1" t="s">
        <v>1075</v>
      </c>
      <c r="F1741" s="2" t="s">
        <v>304</v>
      </c>
      <c r="G1741" s="2">
        <v>-26.91</v>
      </c>
      <c r="H1741" s="2" t="str">
        <f t="shared" si="58"/>
        <v>W</v>
      </c>
      <c r="I1741" s="5"/>
      <c r="J1741" s="5"/>
      <c r="K1741" s="5"/>
      <c r="L1741" s="5">
        <v>23</v>
      </c>
      <c r="M1741" s="2" t="s">
        <v>191</v>
      </c>
      <c r="N1741" s="5">
        <v>57.5</v>
      </c>
      <c r="O1741" s="5"/>
      <c r="P1741" s="5">
        <v>31.85</v>
      </c>
      <c r="Q1741" s="2" t="s">
        <v>376</v>
      </c>
      <c r="R1741" s="5">
        <v>732.48</v>
      </c>
      <c r="S1741" s="5"/>
      <c r="V1741" s="5"/>
      <c r="W1741" s="6" t="s">
        <v>3075</v>
      </c>
    </row>
    <row r="1742" spans="1:23" x14ac:dyDescent="0.15">
      <c r="A1742" s="2" t="s">
        <v>270</v>
      </c>
      <c r="C1742" s="2" t="s">
        <v>1076</v>
      </c>
      <c r="D1742" s="2" t="s">
        <v>560</v>
      </c>
      <c r="E1742" s="1" t="s">
        <v>1077</v>
      </c>
      <c r="F1742" s="2" t="s">
        <v>371</v>
      </c>
      <c r="H1742" s="2" t="s">
        <v>3887</v>
      </c>
      <c r="I1742" s="5"/>
      <c r="J1742" s="5"/>
      <c r="K1742" s="5"/>
      <c r="L1742" s="5">
        <v>8</v>
      </c>
      <c r="M1742" s="2" t="s">
        <v>191</v>
      </c>
      <c r="N1742" s="5"/>
      <c r="O1742" s="5"/>
      <c r="P1742" s="5"/>
      <c r="R1742" s="5"/>
      <c r="S1742" s="5"/>
      <c r="V1742" s="5"/>
      <c r="W1742" s="6" t="s">
        <v>1929</v>
      </c>
    </row>
    <row r="1743" spans="1:23" x14ac:dyDescent="0.15">
      <c r="A1743" s="2" t="s">
        <v>270</v>
      </c>
      <c r="C1743" s="2" t="s">
        <v>1076</v>
      </c>
      <c r="D1743" s="2" t="s">
        <v>560</v>
      </c>
      <c r="E1743" s="1" t="s">
        <v>4473</v>
      </c>
      <c r="F1743" s="2" t="s">
        <v>4068</v>
      </c>
      <c r="G1743" s="2" t="s">
        <v>374</v>
      </c>
      <c r="H1743" s="2" t="str">
        <f t="shared" si="58"/>
        <v>C</v>
      </c>
      <c r="I1743" s="5"/>
      <c r="J1743" s="5"/>
      <c r="K1743" s="5">
        <v>2.5</v>
      </c>
      <c r="L1743" s="5"/>
      <c r="N1743" s="5"/>
      <c r="O1743" s="5"/>
      <c r="P1743" s="5"/>
      <c r="R1743" s="5"/>
      <c r="S1743" s="5"/>
      <c r="V1743" s="5"/>
      <c r="W1743" s="6" t="s">
        <v>4070</v>
      </c>
    </row>
    <row r="1744" spans="1:23" x14ac:dyDescent="0.15">
      <c r="A1744" s="1" t="s">
        <v>270</v>
      </c>
      <c r="C1744" s="2" t="s">
        <v>1076</v>
      </c>
      <c r="D1744" s="1" t="s">
        <v>560</v>
      </c>
      <c r="E1744" s="1" t="s">
        <v>1077</v>
      </c>
      <c r="F1744" s="1" t="s">
        <v>374</v>
      </c>
      <c r="G1744" s="1" t="s">
        <v>374</v>
      </c>
      <c r="H1744" s="2" t="str">
        <f t="shared" si="58"/>
        <v>C</v>
      </c>
      <c r="I1744" s="8">
        <v>23.14</v>
      </c>
      <c r="J1744" s="8">
        <v>1100</v>
      </c>
      <c r="K1744" s="8"/>
      <c r="L1744" s="8">
        <v>21</v>
      </c>
      <c r="M1744" s="4" t="s">
        <v>191</v>
      </c>
      <c r="N1744" s="8">
        <v>37</v>
      </c>
      <c r="O1744" s="8">
        <v>20</v>
      </c>
      <c r="P1744" s="8">
        <v>8.1419999999999995</v>
      </c>
      <c r="Q1744" s="1" t="s">
        <v>376</v>
      </c>
      <c r="R1744" s="8">
        <v>170.982</v>
      </c>
      <c r="S1744" s="8">
        <v>15.544</v>
      </c>
      <c r="T1744" s="1"/>
      <c r="U1744" s="1"/>
      <c r="V1744" s="8"/>
      <c r="W1744" s="6" t="s">
        <v>3597</v>
      </c>
    </row>
    <row r="1745" spans="1:23" x14ac:dyDescent="0.15">
      <c r="A1745" s="2" t="s">
        <v>270</v>
      </c>
      <c r="C1745" s="2" t="s">
        <v>1076</v>
      </c>
      <c r="D1745" s="2" t="s">
        <v>560</v>
      </c>
      <c r="E1745" s="1" t="s">
        <v>1077</v>
      </c>
      <c r="H1745" s="2" t="s">
        <v>3887</v>
      </c>
      <c r="I1745" s="5"/>
      <c r="J1745" s="5"/>
      <c r="K1745" s="5"/>
      <c r="L1745" s="5"/>
      <c r="M1745" s="2" t="s">
        <v>191</v>
      </c>
      <c r="N1745" s="5">
        <v>40.58</v>
      </c>
      <c r="O1745" s="5">
        <v>19.53</v>
      </c>
      <c r="P1745" s="5">
        <v>9.9700000000000006</v>
      </c>
      <c r="Q1745" s="2" t="s">
        <v>18</v>
      </c>
      <c r="R1745" s="5"/>
      <c r="S1745" s="5"/>
      <c r="V1745" s="5"/>
      <c r="W1745" s="6" t="s">
        <v>3462</v>
      </c>
    </row>
    <row r="1746" spans="1:23" x14ac:dyDescent="0.15">
      <c r="A1746" s="2" t="s">
        <v>270</v>
      </c>
      <c r="C1746" s="2" t="s">
        <v>1076</v>
      </c>
      <c r="D1746" s="2" t="s">
        <v>560</v>
      </c>
      <c r="E1746" s="1" t="s">
        <v>1077</v>
      </c>
      <c r="F1746" s="2" t="s">
        <v>877</v>
      </c>
      <c r="G1746" s="2">
        <v>3.74</v>
      </c>
      <c r="H1746" s="2" t="str">
        <f t="shared" ref="H1746:H1776" si="59">IF(G1746="captive","C","W")</f>
        <v>W</v>
      </c>
      <c r="I1746" s="5">
        <v>24.5</v>
      </c>
      <c r="J1746" s="5">
        <v>1623</v>
      </c>
      <c r="K1746" s="5"/>
      <c r="L1746" s="5"/>
      <c r="M1746" s="2" t="s">
        <v>191</v>
      </c>
      <c r="N1746" s="5"/>
      <c r="O1746" s="5"/>
      <c r="P1746" s="5"/>
      <c r="R1746" s="5"/>
      <c r="S1746" s="5"/>
      <c r="V1746" s="5"/>
      <c r="W1746" s="6" t="s">
        <v>3543</v>
      </c>
    </row>
    <row r="1747" spans="1:23" x14ac:dyDescent="0.15">
      <c r="A1747" s="2" t="s">
        <v>270</v>
      </c>
      <c r="C1747" s="2" t="s">
        <v>1076</v>
      </c>
      <c r="D1747" s="2" t="s">
        <v>560</v>
      </c>
      <c r="E1747" s="1" t="s">
        <v>1077</v>
      </c>
      <c r="F1747" s="2" t="s">
        <v>558</v>
      </c>
      <c r="H1747" s="2" t="s">
        <v>3887</v>
      </c>
      <c r="I1747" s="5"/>
      <c r="J1747" s="5"/>
      <c r="K1747" s="5"/>
      <c r="L1747" s="5">
        <v>12</v>
      </c>
      <c r="M1747" s="5" t="s">
        <v>191</v>
      </c>
      <c r="N1747" s="5">
        <v>36</v>
      </c>
      <c r="O1747" s="5">
        <v>21</v>
      </c>
      <c r="P1747" s="5">
        <f xml:space="preserve"> (0.307*N1747) + (0.837*O1747) - 18.851</f>
        <v>9.7779999999999987</v>
      </c>
      <c r="Q1747" s="2" t="s">
        <v>376</v>
      </c>
      <c r="R1747" s="5">
        <f>P1747*L1747</f>
        <v>117.33599999999998</v>
      </c>
      <c r="S1747" s="5"/>
      <c r="V1747" s="5"/>
      <c r="W1747" s="6" t="s">
        <v>2651</v>
      </c>
    </row>
    <row r="1748" spans="1:23" x14ac:dyDescent="0.15">
      <c r="A1748" s="2" t="s">
        <v>270</v>
      </c>
      <c r="C1748" s="2" t="s">
        <v>1076</v>
      </c>
      <c r="D1748" s="2" t="s">
        <v>796</v>
      </c>
      <c r="E1748" s="1"/>
      <c r="F1748" s="2" t="s">
        <v>29</v>
      </c>
      <c r="H1748" s="2" t="s">
        <v>3887</v>
      </c>
      <c r="I1748" s="5"/>
      <c r="J1748" s="5"/>
      <c r="K1748" s="5"/>
      <c r="L1748" s="5"/>
      <c r="M1748" s="2" t="s">
        <v>191</v>
      </c>
      <c r="N1748" s="5"/>
      <c r="O1748" s="5"/>
      <c r="P1748" s="5"/>
      <c r="R1748" s="5"/>
      <c r="S1748" s="5"/>
      <c r="V1748" s="5"/>
      <c r="W1748" s="6" t="s">
        <v>838</v>
      </c>
    </row>
    <row r="1749" spans="1:23" x14ac:dyDescent="0.15">
      <c r="A1749" s="2" t="s">
        <v>270</v>
      </c>
      <c r="C1749" s="2" t="s">
        <v>1076</v>
      </c>
      <c r="D1749" s="1" t="s">
        <v>797</v>
      </c>
      <c r="E1749" s="1"/>
      <c r="F1749" s="2" t="s">
        <v>374</v>
      </c>
      <c r="G1749" s="2" t="s">
        <v>374</v>
      </c>
      <c r="H1749" s="2" t="str">
        <f t="shared" si="59"/>
        <v>C</v>
      </c>
      <c r="I1749" s="5">
        <v>16.75</v>
      </c>
      <c r="J1749" s="5">
        <v>846.5</v>
      </c>
      <c r="K1749" s="5"/>
      <c r="L1749" s="5">
        <v>6</v>
      </c>
      <c r="M1749" s="4" t="s">
        <v>191</v>
      </c>
      <c r="N1749" s="5"/>
      <c r="O1749" s="5"/>
      <c r="P1749" s="5"/>
      <c r="R1749" s="5"/>
      <c r="S1749" s="5"/>
      <c r="T1749" s="2">
        <v>2</v>
      </c>
      <c r="U1749" s="2" t="str">
        <f>IF(T1749&lt;=1, "1",IF(AND(T1749&gt;1,T1749&lt;4), "2-3", "+4"))</f>
        <v>2-3</v>
      </c>
      <c r="V1749" s="5"/>
      <c r="W1749" s="6" t="s">
        <v>2532</v>
      </c>
    </row>
    <row r="1750" spans="1:23" x14ac:dyDescent="0.15">
      <c r="A1750" s="1" t="s">
        <v>270</v>
      </c>
      <c r="C1750" s="2" t="s">
        <v>1076</v>
      </c>
      <c r="D1750" s="1" t="s">
        <v>797</v>
      </c>
      <c r="E1750" s="1"/>
      <c r="F1750" s="1" t="s">
        <v>374</v>
      </c>
      <c r="G1750" s="1" t="s">
        <v>374</v>
      </c>
      <c r="H1750" s="2" t="str">
        <f t="shared" si="59"/>
        <v>C</v>
      </c>
      <c r="I1750" s="8">
        <v>19.7</v>
      </c>
      <c r="J1750" s="8">
        <v>800</v>
      </c>
      <c r="K1750" s="8">
        <v>5</v>
      </c>
      <c r="L1750" s="8">
        <v>17</v>
      </c>
      <c r="M1750" s="4" t="s">
        <v>191</v>
      </c>
      <c r="N1750" s="8">
        <v>40</v>
      </c>
      <c r="O1750" s="8">
        <v>21</v>
      </c>
      <c r="P1750" s="8">
        <v>10.795</v>
      </c>
      <c r="Q1750" s="1" t="s">
        <v>376</v>
      </c>
      <c r="R1750" s="8">
        <v>183.51499999999999</v>
      </c>
      <c r="S1750" s="8">
        <v>22.94</v>
      </c>
      <c r="T1750" s="1"/>
      <c r="U1750" s="1"/>
      <c r="V1750" s="8"/>
      <c r="W1750" s="6" t="s">
        <v>3598</v>
      </c>
    </row>
    <row r="1751" spans="1:23" x14ac:dyDescent="0.15">
      <c r="A1751" s="2" t="s">
        <v>274</v>
      </c>
      <c r="C1751" s="2" t="s">
        <v>3515</v>
      </c>
      <c r="D1751" s="2" t="s">
        <v>390</v>
      </c>
      <c r="E1751" s="1" t="s">
        <v>3794</v>
      </c>
      <c r="F1751" s="2" t="s">
        <v>374</v>
      </c>
      <c r="G1751" s="2" t="s">
        <v>374</v>
      </c>
      <c r="H1751" s="2" t="str">
        <f t="shared" si="59"/>
        <v>C</v>
      </c>
      <c r="I1751" s="5"/>
      <c r="J1751" s="5"/>
      <c r="K1751" s="5"/>
      <c r="L1751" s="7">
        <f>MEDIAN(3,6)</f>
        <v>4.5</v>
      </c>
      <c r="M1751" s="2" t="s">
        <v>571</v>
      </c>
      <c r="N1751" s="5"/>
      <c r="O1751" s="5"/>
      <c r="P1751" s="5"/>
      <c r="R1751" s="5"/>
      <c r="S1751" s="5"/>
      <c r="V1751" s="5"/>
      <c r="W1751" s="6" t="s">
        <v>3076</v>
      </c>
    </row>
    <row r="1752" spans="1:23" x14ac:dyDescent="0.15">
      <c r="A1752" s="2" t="s">
        <v>274</v>
      </c>
      <c r="C1752" s="2" t="s">
        <v>3515</v>
      </c>
      <c r="D1752" s="2" t="s">
        <v>390</v>
      </c>
      <c r="E1752" s="1" t="s">
        <v>3794</v>
      </c>
      <c r="F1752" s="2" t="s">
        <v>374</v>
      </c>
      <c r="G1752" s="2" t="s">
        <v>374</v>
      </c>
      <c r="H1752" s="2" t="str">
        <f t="shared" si="59"/>
        <v>C</v>
      </c>
      <c r="I1752" s="5">
        <v>11.85</v>
      </c>
      <c r="J1752" s="5">
        <v>321</v>
      </c>
      <c r="K1752" s="5"/>
      <c r="L1752" s="5">
        <v>3</v>
      </c>
      <c r="M1752" s="2" t="s">
        <v>571</v>
      </c>
      <c r="N1752" s="5">
        <v>40.4</v>
      </c>
      <c r="O1752" s="5">
        <v>20.3</v>
      </c>
      <c r="P1752" s="5">
        <v>10</v>
      </c>
      <c r="Q1752" s="2" t="s">
        <v>18</v>
      </c>
      <c r="R1752" s="5">
        <v>30</v>
      </c>
      <c r="S1752" s="5">
        <v>9.34</v>
      </c>
      <c r="V1752" s="5"/>
      <c r="W1752" s="6" t="s">
        <v>3077</v>
      </c>
    </row>
    <row r="1753" spans="1:23" x14ac:dyDescent="0.15">
      <c r="A1753" s="2" t="s">
        <v>274</v>
      </c>
      <c r="C1753" s="2" t="s">
        <v>3515</v>
      </c>
      <c r="D1753" s="2" t="s">
        <v>390</v>
      </c>
      <c r="E1753" s="1" t="s">
        <v>3794</v>
      </c>
      <c r="F1753" s="2" t="s">
        <v>402</v>
      </c>
      <c r="G1753" s="2" t="s">
        <v>374</v>
      </c>
      <c r="H1753" s="2" t="str">
        <f t="shared" si="59"/>
        <v>C</v>
      </c>
      <c r="I1753" s="5">
        <v>12.93</v>
      </c>
      <c r="J1753" s="5">
        <v>387</v>
      </c>
      <c r="K1753" s="5">
        <v>6</v>
      </c>
      <c r="L1753" s="5">
        <v>4.8499999999999996</v>
      </c>
      <c r="M1753" s="2" t="s">
        <v>571</v>
      </c>
      <c r="N1753" s="5"/>
      <c r="O1753" s="5"/>
      <c r="P1753" s="5"/>
      <c r="R1753" s="5"/>
      <c r="S1753" s="5"/>
      <c r="V1753" s="5"/>
      <c r="W1753" s="6" t="s">
        <v>3078</v>
      </c>
    </row>
    <row r="1754" spans="1:23" x14ac:dyDescent="0.15">
      <c r="A1754" s="2" t="s">
        <v>274</v>
      </c>
      <c r="C1754" s="2" t="s">
        <v>3515</v>
      </c>
      <c r="D1754" s="2" t="s">
        <v>390</v>
      </c>
      <c r="E1754" s="1" t="s">
        <v>3885</v>
      </c>
      <c r="F1754" s="2" t="s">
        <v>438</v>
      </c>
      <c r="G1754" s="2">
        <v>22.18</v>
      </c>
      <c r="H1754" s="2" t="str">
        <f t="shared" si="59"/>
        <v>W</v>
      </c>
      <c r="I1754" s="5">
        <v>13.4</v>
      </c>
      <c r="J1754" s="5">
        <v>400</v>
      </c>
      <c r="K1754" s="5"/>
      <c r="L1754" s="5">
        <v>2.5</v>
      </c>
      <c r="M1754" s="2" t="s">
        <v>571</v>
      </c>
      <c r="N1754" s="5">
        <v>44.04</v>
      </c>
      <c r="O1754" s="5">
        <v>22.3</v>
      </c>
      <c r="P1754" s="5">
        <f xml:space="preserve"> (0.307*N1754) + (0.837*O1754) - 18.851</f>
        <v>13.334379999999996</v>
      </c>
      <c r="Q1754" s="2" t="s">
        <v>376</v>
      </c>
      <c r="R1754" s="5">
        <f>L1754*P1754</f>
        <v>33.33594999999999</v>
      </c>
      <c r="S1754" s="5">
        <f>(R1754/J1754)*100</f>
        <v>8.3339874999999974</v>
      </c>
      <c r="V1754" s="5"/>
      <c r="W1754" s="6" t="s">
        <v>3079</v>
      </c>
    </row>
    <row r="1755" spans="1:23" x14ac:dyDescent="0.15">
      <c r="A1755" s="1" t="s">
        <v>274</v>
      </c>
      <c r="C1755" s="2" t="s">
        <v>3515</v>
      </c>
      <c r="D1755" s="1" t="s">
        <v>390</v>
      </c>
      <c r="E1755" s="1" t="s">
        <v>3885</v>
      </c>
      <c r="F1755" s="1" t="s">
        <v>374</v>
      </c>
      <c r="G1755" s="1" t="s">
        <v>374</v>
      </c>
      <c r="H1755" s="2" t="str">
        <f t="shared" si="59"/>
        <v>C</v>
      </c>
      <c r="I1755" s="8">
        <v>18</v>
      </c>
      <c r="J1755" s="8">
        <v>1041.4000000000001</v>
      </c>
      <c r="K1755" s="8"/>
      <c r="L1755" s="8">
        <v>3.8</v>
      </c>
      <c r="M1755" s="2" t="s">
        <v>571</v>
      </c>
      <c r="N1755" s="8">
        <v>53.56</v>
      </c>
      <c r="O1755" s="8">
        <v>22.24</v>
      </c>
      <c r="P1755" s="8">
        <v>16.03</v>
      </c>
      <c r="Q1755" s="1" t="s">
        <v>376</v>
      </c>
      <c r="R1755" s="8">
        <v>60.914000000000001</v>
      </c>
      <c r="S1755" s="8">
        <v>5.8490000000000002</v>
      </c>
      <c r="T1755" s="1">
        <v>1</v>
      </c>
      <c r="U1755" s="2" t="str">
        <f>IF(T1755&lt;=1, "1",IF(AND(T1755&gt;1,T1755&lt;4), "2-3", "+4"))</f>
        <v>1</v>
      </c>
      <c r="V1755" s="8">
        <v>5.8490000000000002</v>
      </c>
      <c r="W1755" s="6" t="s">
        <v>3599</v>
      </c>
    </row>
    <row r="1756" spans="1:23" x14ac:dyDescent="0.15">
      <c r="A1756" s="1" t="s">
        <v>274</v>
      </c>
      <c r="C1756" s="2" t="s">
        <v>3515</v>
      </c>
      <c r="D1756" s="1" t="s">
        <v>390</v>
      </c>
      <c r="E1756" s="1" t="s">
        <v>3794</v>
      </c>
      <c r="F1756" s="1" t="s">
        <v>374</v>
      </c>
      <c r="G1756" s="1" t="s">
        <v>374</v>
      </c>
      <c r="H1756" s="2" t="str">
        <f t="shared" si="59"/>
        <v>C</v>
      </c>
      <c r="I1756" s="8">
        <v>13.2</v>
      </c>
      <c r="J1756" s="8">
        <v>432</v>
      </c>
      <c r="K1756" s="8"/>
      <c r="L1756" s="8">
        <v>6.25</v>
      </c>
      <c r="M1756" s="2" t="s">
        <v>571</v>
      </c>
      <c r="N1756" s="8">
        <v>36.42</v>
      </c>
      <c r="O1756" s="8">
        <v>19.981999999999999</v>
      </c>
      <c r="P1756" s="8">
        <v>9.0579999999999998</v>
      </c>
      <c r="Q1756" s="1" t="s">
        <v>376</v>
      </c>
      <c r="R1756" s="8">
        <v>56.613</v>
      </c>
      <c r="S1756" s="8">
        <v>13.105</v>
      </c>
      <c r="T1756" s="1">
        <v>1</v>
      </c>
      <c r="U1756" s="2" t="str">
        <f>IF(T1756&lt;=1, "1",IF(AND(T1756&gt;1,T1756&lt;4), "2-3", "+4"))</f>
        <v>1</v>
      </c>
      <c r="V1756" s="8">
        <v>13.105</v>
      </c>
      <c r="W1756" s="6" t="s">
        <v>3599</v>
      </c>
    </row>
    <row r="1757" spans="1:23" x14ac:dyDescent="0.15">
      <c r="A1757" s="4" t="s">
        <v>274</v>
      </c>
      <c r="C1757" s="4" t="s">
        <v>3515</v>
      </c>
      <c r="D1757" s="4" t="s">
        <v>390</v>
      </c>
      <c r="E1757" s="1" t="s">
        <v>3794</v>
      </c>
      <c r="F1757" s="4" t="s">
        <v>276</v>
      </c>
      <c r="G1757" s="1" t="s">
        <v>374</v>
      </c>
      <c r="H1757" s="2" t="str">
        <f t="shared" si="59"/>
        <v>C</v>
      </c>
      <c r="I1757" s="33">
        <f>(569.9+1156.9)/121.09</f>
        <v>14.260467420926584</v>
      </c>
      <c r="J1757" s="5">
        <v>569.9</v>
      </c>
      <c r="K1757" s="5">
        <v>15</v>
      </c>
      <c r="L1757" s="5">
        <v>5.5</v>
      </c>
      <c r="M1757" s="2" t="s">
        <v>571</v>
      </c>
      <c r="N1757" s="33">
        <v>39.64</v>
      </c>
      <c r="O1757" s="33">
        <v>21.4</v>
      </c>
      <c r="P1757" s="5">
        <v>10.92</v>
      </c>
      <c r="Q1757" s="2" t="s">
        <v>18</v>
      </c>
      <c r="R1757" s="5">
        <v>60.06</v>
      </c>
      <c r="S1757" s="5">
        <v>10.54</v>
      </c>
      <c r="T1757" s="2">
        <v>1</v>
      </c>
      <c r="U1757" s="2" t="str">
        <f>IF(T1757&lt;=1, "1",IF(AND(T1757&gt;1,T1757&lt;4), "2-3", "+4"))</f>
        <v>1</v>
      </c>
      <c r="V1757" s="33">
        <v>10.54</v>
      </c>
      <c r="W1757" s="10" t="s">
        <v>2051</v>
      </c>
    </row>
    <row r="1758" spans="1:23" x14ac:dyDescent="0.15">
      <c r="A1758" s="4" t="s">
        <v>274</v>
      </c>
      <c r="C1758" s="4" t="s">
        <v>3515</v>
      </c>
      <c r="D1758" s="4" t="s">
        <v>390</v>
      </c>
      <c r="E1758" s="1" t="s">
        <v>3794</v>
      </c>
      <c r="F1758" s="4" t="s">
        <v>275</v>
      </c>
      <c r="G1758" s="4">
        <v>22.15</v>
      </c>
      <c r="H1758" s="2" t="str">
        <f t="shared" si="59"/>
        <v>W</v>
      </c>
      <c r="I1758" s="33">
        <v>12.51</v>
      </c>
      <c r="J1758" s="5">
        <v>393.3</v>
      </c>
      <c r="K1758" s="5"/>
      <c r="L1758" s="5">
        <v>3.6</v>
      </c>
      <c r="M1758" s="2" t="s">
        <v>571</v>
      </c>
      <c r="N1758" s="33">
        <v>36</v>
      </c>
      <c r="O1758" s="33">
        <v>21</v>
      </c>
      <c r="P1758" s="5">
        <v>11</v>
      </c>
      <c r="Q1758" s="2" t="s">
        <v>18</v>
      </c>
      <c r="R1758" s="5">
        <v>39.6</v>
      </c>
      <c r="S1758" s="5">
        <v>10.07</v>
      </c>
      <c r="T1758" s="2">
        <v>1</v>
      </c>
      <c r="U1758" s="2" t="str">
        <f>IF(T1758&lt;=1, "1",IF(AND(T1758&gt;1,T1758&lt;4), "2-3", "+4"))</f>
        <v>1</v>
      </c>
      <c r="V1758" s="33">
        <v>10.07</v>
      </c>
      <c r="W1758" s="10" t="s">
        <v>1856</v>
      </c>
    </row>
    <row r="1759" spans="1:23" ht="12.75" customHeight="1" x14ac:dyDescent="0.15">
      <c r="A1759" s="2" t="s">
        <v>274</v>
      </c>
      <c r="C1759" s="2" t="s">
        <v>3515</v>
      </c>
      <c r="D1759" s="2" t="s">
        <v>390</v>
      </c>
      <c r="E1759" s="1" t="s">
        <v>3794</v>
      </c>
      <c r="F1759" s="2" t="s">
        <v>275</v>
      </c>
      <c r="G1759" s="2">
        <v>22.067</v>
      </c>
      <c r="H1759" s="2" t="str">
        <f t="shared" si="59"/>
        <v>W</v>
      </c>
      <c r="I1759" s="5">
        <v>11.91</v>
      </c>
      <c r="J1759" s="5">
        <f>0.0004357*(I1759*10)^2.8033</f>
        <v>287.46898853166243</v>
      </c>
      <c r="K1759" s="5">
        <v>8</v>
      </c>
      <c r="L1759" s="5"/>
      <c r="M1759" s="2" t="s">
        <v>571</v>
      </c>
      <c r="N1759" s="5"/>
      <c r="O1759" s="5"/>
      <c r="P1759" s="5"/>
      <c r="R1759" s="5"/>
      <c r="S1759" s="5"/>
      <c r="V1759" s="5"/>
      <c r="W1759" s="6" t="s">
        <v>3636</v>
      </c>
    </row>
    <row r="1760" spans="1:23" x14ac:dyDescent="0.15">
      <c r="A1760" s="2" t="s">
        <v>274</v>
      </c>
      <c r="C1760" s="2" t="s">
        <v>3515</v>
      </c>
      <c r="D1760" s="2" t="s">
        <v>390</v>
      </c>
      <c r="E1760" s="1" t="s">
        <v>3794</v>
      </c>
      <c r="F1760" s="2" t="s">
        <v>374</v>
      </c>
      <c r="G1760" s="2" t="s">
        <v>374</v>
      </c>
      <c r="H1760" s="2" t="str">
        <f t="shared" si="59"/>
        <v>C</v>
      </c>
      <c r="I1760" s="5"/>
      <c r="J1760" s="5"/>
      <c r="K1760" s="5"/>
      <c r="L1760" s="7">
        <v>1</v>
      </c>
      <c r="M1760" s="2" t="s">
        <v>571</v>
      </c>
      <c r="N1760" s="5">
        <v>44</v>
      </c>
      <c r="O1760" s="5">
        <v>22</v>
      </c>
      <c r="P1760" s="5">
        <f xml:space="preserve"> (0.307*N1760) + (0.837*O1760) - 18.851</f>
        <v>13.070999999999998</v>
      </c>
      <c r="Q1760" s="2" t="s">
        <v>376</v>
      </c>
      <c r="R1760" s="5">
        <f>L1760*P1760</f>
        <v>13.070999999999998</v>
      </c>
      <c r="S1760" s="5"/>
      <c r="V1760" s="5"/>
      <c r="W1760" s="6" t="s">
        <v>3080</v>
      </c>
    </row>
    <row r="1761" spans="1:24" ht="12.75" customHeight="1" x14ac:dyDescent="0.15">
      <c r="A1761" s="2" t="s">
        <v>274</v>
      </c>
      <c r="C1761" s="2" t="s">
        <v>3515</v>
      </c>
      <c r="D1761" s="2" t="s">
        <v>390</v>
      </c>
      <c r="E1761" s="1" t="s">
        <v>3794</v>
      </c>
      <c r="F1761" s="2" t="s">
        <v>2280</v>
      </c>
      <c r="G1761" s="2" t="s">
        <v>374</v>
      </c>
      <c r="H1761" s="2" t="str">
        <f t="shared" si="59"/>
        <v>C</v>
      </c>
      <c r="I1761" s="5">
        <f>(EXP((LN(J1761/0.0004357))/2.8033))/10</f>
        <v>15.265683209504804</v>
      </c>
      <c r="J1761" s="5">
        <v>576.5</v>
      </c>
      <c r="K1761" s="5"/>
      <c r="L1761" s="5">
        <v>3</v>
      </c>
      <c r="M1761" s="2" t="s">
        <v>571</v>
      </c>
      <c r="N1761" s="5">
        <v>50</v>
      </c>
      <c r="O1761" s="5">
        <v>20</v>
      </c>
      <c r="P1761" s="7">
        <f>MEDIAN(10,12)</f>
        <v>11</v>
      </c>
      <c r="Q1761" s="2" t="s">
        <v>18</v>
      </c>
      <c r="R1761" s="5">
        <f>P1761*L1761</f>
        <v>33</v>
      </c>
      <c r="S1761" s="5">
        <v>5.72</v>
      </c>
      <c r="V1761" s="5"/>
      <c r="W1761" s="6" t="s">
        <v>3081</v>
      </c>
    </row>
    <row r="1762" spans="1:24" x14ac:dyDescent="0.15">
      <c r="A1762" s="2" t="s">
        <v>277</v>
      </c>
      <c r="B1762" s="2" t="s">
        <v>3946</v>
      </c>
      <c r="C1762" s="2" t="s">
        <v>3516</v>
      </c>
      <c r="D1762" s="2" t="s">
        <v>655</v>
      </c>
      <c r="E1762" s="1"/>
      <c r="F1762" s="2" t="s">
        <v>278</v>
      </c>
      <c r="G1762" s="2">
        <v>-16</v>
      </c>
      <c r="H1762" s="2" t="str">
        <f t="shared" si="59"/>
        <v>W</v>
      </c>
      <c r="I1762" s="5"/>
      <c r="J1762" s="5"/>
      <c r="K1762" s="5"/>
      <c r="L1762" s="5"/>
      <c r="M1762" s="2" t="s">
        <v>571</v>
      </c>
      <c r="N1762" s="5"/>
      <c r="O1762" s="5"/>
      <c r="P1762" s="5"/>
      <c r="R1762" s="5"/>
      <c r="S1762" s="5"/>
      <c r="T1762" s="2" t="s">
        <v>122</v>
      </c>
      <c r="V1762" s="5"/>
      <c r="W1762" s="6" t="s">
        <v>2052</v>
      </c>
    </row>
    <row r="1763" spans="1:24" ht="12.75" customHeight="1" x14ac:dyDescent="0.15">
      <c r="A1763" s="2" t="s">
        <v>277</v>
      </c>
      <c r="B1763" s="2" t="s">
        <v>3946</v>
      </c>
      <c r="C1763" s="2" t="s">
        <v>3516</v>
      </c>
      <c r="D1763" s="2" t="s">
        <v>655</v>
      </c>
      <c r="E1763" s="1"/>
      <c r="F1763" s="2" t="s">
        <v>301</v>
      </c>
      <c r="G1763" s="2">
        <v>-16</v>
      </c>
      <c r="H1763" s="2" t="str">
        <f t="shared" si="59"/>
        <v>W</v>
      </c>
      <c r="I1763" s="5">
        <v>31.71</v>
      </c>
      <c r="J1763" s="5"/>
      <c r="K1763" s="5"/>
      <c r="L1763" s="5">
        <v>14.2</v>
      </c>
      <c r="M1763" s="2" t="s">
        <v>571</v>
      </c>
      <c r="N1763" s="5">
        <v>38</v>
      </c>
      <c r="O1763" s="5">
        <v>24</v>
      </c>
      <c r="P1763" s="5">
        <v>10.199999999999999</v>
      </c>
      <c r="Q1763" s="2" t="s">
        <v>2281</v>
      </c>
      <c r="R1763" s="5">
        <v>144.84</v>
      </c>
      <c r="S1763" s="5"/>
      <c r="T1763" s="9">
        <f>MEDIAN(1,3)</f>
        <v>2</v>
      </c>
      <c r="U1763" s="2" t="str">
        <f>IF(T1763&lt;=1, "1",IF(AND(T1763&gt;1,T1763&lt;4), "2-3", "+4"))</f>
        <v>2-3</v>
      </c>
      <c r="V1763" s="5"/>
      <c r="W1763" s="6" t="s">
        <v>3082</v>
      </c>
    </row>
    <row r="1764" spans="1:24" x14ac:dyDescent="0.15">
      <c r="A1764" s="2" t="s">
        <v>277</v>
      </c>
      <c r="B1764" s="2" t="s">
        <v>3946</v>
      </c>
      <c r="C1764" s="2" t="s">
        <v>3516</v>
      </c>
      <c r="D1764" s="2" t="s">
        <v>655</v>
      </c>
      <c r="E1764" s="1"/>
      <c r="F1764" s="2" t="s">
        <v>301</v>
      </c>
      <c r="H1764" s="2" t="s">
        <v>5154</v>
      </c>
      <c r="I1764" s="5"/>
      <c r="J1764" s="5"/>
      <c r="K1764" s="5"/>
      <c r="L1764" s="5">
        <v>13</v>
      </c>
      <c r="M1764" s="5" t="s">
        <v>571</v>
      </c>
      <c r="N1764" s="5"/>
      <c r="O1764" s="5"/>
      <c r="P1764" s="5">
        <v>14.8</v>
      </c>
      <c r="Q1764" s="2" t="s">
        <v>18</v>
      </c>
      <c r="R1764" s="5">
        <f>P1764*L1764</f>
        <v>192.4</v>
      </c>
      <c r="S1764" s="5"/>
      <c r="T1764" s="9">
        <f>MEDIAN(2,3)</f>
        <v>2.5</v>
      </c>
      <c r="U1764" s="2" t="str">
        <f>IF(T1764&lt;=1, "1",IF(AND(T1764&gt;1,T1764&lt;4), "2-3", "+4"))</f>
        <v>2-3</v>
      </c>
      <c r="V1764" s="5"/>
      <c r="W1764" s="6" t="s">
        <v>2622</v>
      </c>
    </row>
    <row r="1765" spans="1:24" ht="12.75" customHeight="1" x14ac:dyDescent="0.15">
      <c r="A1765" s="2" t="s">
        <v>277</v>
      </c>
      <c r="B1765" s="2" t="s">
        <v>3946</v>
      </c>
      <c r="C1765" s="2" t="s">
        <v>3516</v>
      </c>
      <c r="D1765" s="2" t="s">
        <v>655</v>
      </c>
      <c r="E1765" s="1"/>
      <c r="F1765" s="2" t="s">
        <v>301</v>
      </c>
      <c r="H1765" s="2" t="s">
        <v>3887</v>
      </c>
      <c r="I1765" s="5">
        <v>34.5</v>
      </c>
      <c r="J1765" s="5">
        <v>4900</v>
      </c>
      <c r="K1765" s="7">
        <f>MEDIAN(18,25)</f>
        <v>21.5</v>
      </c>
      <c r="L1765" s="5">
        <v>13</v>
      </c>
      <c r="M1765" s="2" t="s">
        <v>571</v>
      </c>
      <c r="N1765" s="5"/>
      <c r="O1765" s="5"/>
      <c r="P1765" s="5">
        <v>14.8</v>
      </c>
      <c r="Q1765" s="2" t="s">
        <v>18</v>
      </c>
      <c r="R1765" s="5">
        <v>192.4</v>
      </c>
      <c r="S1765" s="5">
        <v>3.93</v>
      </c>
      <c r="T1765" s="9">
        <f>MEDIAN(2,3)</f>
        <v>2.5</v>
      </c>
      <c r="U1765" s="2" t="str">
        <f>IF(T1765&lt;=1, "1",IF(AND(T1765&gt;1,T1765&lt;4), "2-3", "+4"))</f>
        <v>2-3</v>
      </c>
      <c r="V1765" s="5">
        <f>S1765*T1765</f>
        <v>9.8250000000000011</v>
      </c>
      <c r="W1765" s="6" t="s">
        <v>2619</v>
      </c>
    </row>
    <row r="1766" spans="1:24" x14ac:dyDescent="0.15">
      <c r="A1766" s="2" t="s">
        <v>277</v>
      </c>
      <c r="B1766" s="2" t="s">
        <v>3946</v>
      </c>
      <c r="C1766" s="2" t="s">
        <v>3516</v>
      </c>
      <c r="D1766" s="2" t="s">
        <v>655</v>
      </c>
      <c r="E1766" s="1"/>
      <c r="F1766" s="2" t="s">
        <v>301</v>
      </c>
      <c r="H1766" s="2" t="s">
        <v>3887</v>
      </c>
      <c r="I1766" s="5"/>
      <c r="J1766" s="5"/>
      <c r="K1766" s="5"/>
      <c r="L1766" s="5">
        <v>24</v>
      </c>
      <c r="M1766" s="2" t="s">
        <v>571</v>
      </c>
      <c r="N1766" s="5">
        <v>40</v>
      </c>
      <c r="O1766" s="5">
        <v>29.75</v>
      </c>
      <c r="P1766" s="5">
        <f xml:space="preserve"> (0.458*N1766) + (0.887*O1766) - 24.392</f>
        <v>20.31625</v>
      </c>
      <c r="Q1766" s="2" t="s">
        <v>376</v>
      </c>
      <c r="R1766" s="5">
        <f>P1766*L1766</f>
        <v>487.59000000000003</v>
      </c>
      <c r="S1766" s="5"/>
      <c r="V1766" s="5"/>
      <c r="W1766" s="6" t="s">
        <v>2750</v>
      </c>
    </row>
    <row r="1767" spans="1:24" ht="12.75" customHeight="1" x14ac:dyDescent="0.15">
      <c r="A1767" s="2" t="s">
        <v>277</v>
      </c>
      <c r="B1767" s="2" t="s">
        <v>3947</v>
      </c>
      <c r="C1767" s="2" t="s">
        <v>1078</v>
      </c>
      <c r="D1767" s="2" t="s">
        <v>412</v>
      </c>
      <c r="E1767" s="1"/>
      <c r="F1767" s="2" t="s">
        <v>26</v>
      </c>
      <c r="G1767" s="2">
        <v>-0.4</v>
      </c>
      <c r="H1767" s="2" t="str">
        <f t="shared" si="59"/>
        <v>W</v>
      </c>
      <c r="I1767" s="5">
        <v>32.880000000000003</v>
      </c>
      <c r="J1767" s="5">
        <v>4646.8</v>
      </c>
      <c r="K1767" s="5"/>
      <c r="L1767" s="5">
        <v>9.8699999999999992</v>
      </c>
      <c r="M1767" s="2" t="s">
        <v>191</v>
      </c>
      <c r="N1767" s="5">
        <v>56.65</v>
      </c>
      <c r="O1767" s="5">
        <v>34.520000000000003</v>
      </c>
      <c r="P1767" s="5">
        <v>38.72</v>
      </c>
      <c r="Q1767" s="2" t="s">
        <v>18</v>
      </c>
      <c r="R1767" s="5">
        <v>382.166</v>
      </c>
      <c r="S1767" s="5">
        <v>8.2240000000000002</v>
      </c>
      <c r="V1767" s="5"/>
      <c r="W1767" s="6" t="s">
        <v>4037</v>
      </c>
    </row>
    <row r="1768" spans="1:24" ht="12.75" customHeight="1" x14ac:dyDescent="0.15">
      <c r="A1768" s="2" t="s">
        <v>277</v>
      </c>
      <c r="B1768" s="2" t="s">
        <v>3947</v>
      </c>
      <c r="C1768" s="2" t="s">
        <v>1078</v>
      </c>
      <c r="D1768" s="2" t="s">
        <v>412</v>
      </c>
      <c r="E1768" s="1"/>
      <c r="F1768" s="2" t="s">
        <v>865</v>
      </c>
      <c r="G1768" s="2">
        <v>5.5</v>
      </c>
      <c r="H1768" s="2" t="str">
        <f t="shared" si="59"/>
        <v>W</v>
      </c>
      <c r="I1768" s="5">
        <v>32.4</v>
      </c>
      <c r="J1768" s="5"/>
      <c r="K1768" s="5"/>
      <c r="L1768" s="5">
        <v>10.7</v>
      </c>
      <c r="M1768" s="2" t="s">
        <v>191</v>
      </c>
      <c r="N1768" s="5"/>
      <c r="O1768" s="5"/>
      <c r="P1768" s="5">
        <v>46.6</v>
      </c>
      <c r="Q1768" s="2" t="s">
        <v>18</v>
      </c>
      <c r="R1768" s="5">
        <v>498.6</v>
      </c>
      <c r="S1768" s="5"/>
      <c r="V1768" s="5"/>
      <c r="W1768" s="6" t="s">
        <v>1885</v>
      </c>
    </row>
    <row r="1769" spans="1:24" ht="12.75" customHeight="1" x14ac:dyDescent="0.15">
      <c r="A1769" s="2" t="s">
        <v>277</v>
      </c>
      <c r="B1769" s="2" t="s">
        <v>3947</v>
      </c>
      <c r="C1769" s="2" t="s">
        <v>1078</v>
      </c>
      <c r="D1769" s="2" t="s">
        <v>412</v>
      </c>
      <c r="E1769" s="1"/>
      <c r="F1769" s="2" t="s">
        <v>875</v>
      </c>
      <c r="H1769" s="2" t="s">
        <v>3887</v>
      </c>
      <c r="I1769" s="5">
        <v>32.4</v>
      </c>
      <c r="J1769" s="5">
        <v>7057</v>
      </c>
      <c r="K1769" s="5"/>
      <c r="L1769" s="5"/>
      <c r="M1769" s="2" t="s">
        <v>191</v>
      </c>
      <c r="N1769" s="5">
        <f>MEDIAN(57.5,59.5)</f>
        <v>58.5</v>
      </c>
      <c r="O1769" s="5">
        <f>MEDIAN(33,34)</f>
        <v>33.5</v>
      </c>
      <c r="P1769" s="5">
        <f>MEDIAN(40.7,42.8)</f>
        <v>41.75</v>
      </c>
      <c r="Q1769" s="2" t="s">
        <v>18</v>
      </c>
      <c r="R1769" s="5"/>
      <c r="S1769" s="5"/>
      <c r="V1769" s="5"/>
      <c r="W1769" s="6" t="s">
        <v>1886</v>
      </c>
    </row>
    <row r="1770" spans="1:24" ht="12.75" customHeight="1" x14ac:dyDescent="0.15">
      <c r="A1770" s="2" t="s">
        <v>277</v>
      </c>
      <c r="B1770" s="2" t="s">
        <v>3947</v>
      </c>
      <c r="C1770" s="2" t="s">
        <v>1078</v>
      </c>
      <c r="D1770" s="2" t="s">
        <v>412</v>
      </c>
      <c r="E1770" s="1"/>
      <c r="F1770" s="2" t="s">
        <v>3914</v>
      </c>
      <c r="H1770" s="2" t="s">
        <v>3887</v>
      </c>
      <c r="I1770" s="5">
        <v>30</v>
      </c>
      <c r="J1770" s="5">
        <v>6556</v>
      </c>
      <c r="K1770" s="5"/>
      <c r="L1770" s="5">
        <v>15</v>
      </c>
      <c r="M1770" s="2" t="s">
        <v>191</v>
      </c>
      <c r="N1770" s="5">
        <v>50</v>
      </c>
      <c r="O1770" s="5">
        <v>40</v>
      </c>
      <c r="P1770" s="5">
        <v>42.3</v>
      </c>
      <c r="Q1770" s="2" t="s">
        <v>18</v>
      </c>
      <c r="R1770" s="5">
        <v>634.5</v>
      </c>
      <c r="S1770" s="5">
        <v>9.6780000000000008</v>
      </c>
      <c r="V1770" s="5"/>
      <c r="W1770" s="6" t="s">
        <v>2165</v>
      </c>
    </row>
    <row r="1771" spans="1:24" x14ac:dyDescent="0.15">
      <c r="A1771" s="2" t="s">
        <v>277</v>
      </c>
      <c r="B1771" s="2" t="s">
        <v>3947</v>
      </c>
      <c r="C1771" s="2" t="s">
        <v>1078</v>
      </c>
      <c r="D1771" s="2" t="s">
        <v>412</v>
      </c>
      <c r="E1771" s="1"/>
      <c r="F1771" s="2" t="s">
        <v>26</v>
      </c>
      <c r="G1771" s="2">
        <v>-1.33</v>
      </c>
      <c r="H1771" s="2" t="str">
        <f t="shared" si="59"/>
        <v>W</v>
      </c>
      <c r="I1771" s="5"/>
      <c r="J1771" s="5"/>
      <c r="K1771" s="5"/>
      <c r="L1771" s="5">
        <v>18.100000000000001</v>
      </c>
      <c r="M1771" s="2" t="s">
        <v>191</v>
      </c>
      <c r="N1771" s="5">
        <v>54.6</v>
      </c>
      <c r="O1771" s="5">
        <v>36.5</v>
      </c>
      <c r="P1771" s="5">
        <v>42.3</v>
      </c>
      <c r="Q1771" s="2" t="s">
        <v>18</v>
      </c>
      <c r="R1771" s="5">
        <v>765.63</v>
      </c>
      <c r="S1771" s="5"/>
      <c r="V1771" s="5"/>
      <c r="W1771" s="6" t="s">
        <v>3439</v>
      </c>
    </row>
    <row r="1772" spans="1:24" ht="12.75" customHeight="1" x14ac:dyDescent="0.15">
      <c r="A1772" s="4" t="s">
        <v>277</v>
      </c>
      <c r="B1772" s="4" t="s">
        <v>3948</v>
      </c>
      <c r="C1772" s="4" t="s">
        <v>1080</v>
      </c>
      <c r="D1772" s="4" t="s">
        <v>798</v>
      </c>
      <c r="E1772" s="1"/>
      <c r="F1772" s="4" t="s">
        <v>26</v>
      </c>
      <c r="G1772" s="4">
        <v>-0.4</v>
      </c>
      <c r="H1772" s="2" t="str">
        <f t="shared" si="59"/>
        <v>W</v>
      </c>
      <c r="I1772" s="5"/>
      <c r="J1772" s="5"/>
      <c r="K1772" s="5"/>
      <c r="L1772" s="33">
        <v>8.6999999999999993</v>
      </c>
      <c r="M1772" s="4" t="s">
        <v>47</v>
      </c>
      <c r="N1772" s="33">
        <v>43.5</v>
      </c>
      <c r="O1772" s="33">
        <v>25</v>
      </c>
      <c r="P1772" s="33">
        <v>17.66</v>
      </c>
      <c r="Q1772" s="2" t="s">
        <v>18</v>
      </c>
      <c r="R1772" s="33">
        <v>152.65</v>
      </c>
      <c r="S1772" s="33">
        <v>10.24</v>
      </c>
      <c r="T1772" s="4"/>
      <c r="U1772" s="4"/>
      <c r="V1772" s="33"/>
      <c r="W1772" s="10" t="s">
        <v>1857</v>
      </c>
    </row>
    <row r="1773" spans="1:24" x14ac:dyDescent="0.15">
      <c r="A1773" s="2" t="s">
        <v>277</v>
      </c>
      <c r="B1773" s="4" t="s">
        <v>3948</v>
      </c>
      <c r="C1773" s="2" t="s">
        <v>1080</v>
      </c>
      <c r="D1773" s="2" t="s">
        <v>798</v>
      </c>
      <c r="E1773" s="1"/>
      <c r="F1773" s="2" t="s">
        <v>279</v>
      </c>
      <c r="G1773" s="2">
        <v>-2.5</v>
      </c>
      <c r="H1773" s="2" t="str">
        <f t="shared" si="59"/>
        <v>W</v>
      </c>
      <c r="I1773" s="5"/>
      <c r="J1773" s="5"/>
      <c r="K1773" s="5"/>
      <c r="L1773" s="5">
        <v>6.95</v>
      </c>
      <c r="M1773" s="2" t="s">
        <v>47</v>
      </c>
      <c r="N1773" s="5"/>
      <c r="O1773" s="5"/>
      <c r="P1773" s="5"/>
      <c r="R1773" s="5"/>
      <c r="S1773" s="5"/>
      <c r="V1773" s="5"/>
      <c r="W1773" s="6" t="s">
        <v>2053</v>
      </c>
    </row>
    <row r="1774" spans="1:24" x14ac:dyDescent="0.15">
      <c r="A1774" s="2" t="s">
        <v>277</v>
      </c>
      <c r="B1774" s="4" t="s">
        <v>3948</v>
      </c>
      <c r="C1774" s="2" t="s">
        <v>1080</v>
      </c>
      <c r="D1774" s="2" t="s">
        <v>798</v>
      </c>
      <c r="E1774" s="1"/>
      <c r="F1774" s="2" t="s">
        <v>219</v>
      </c>
      <c r="G1774" s="2">
        <v>3.5</v>
      </c>
      <c r="H1774" s="2" t="str">
        <f t="shared" si="59"/>
        <v>W</v>
      </c>
      <c r="I1774" s="5"/>
      <c r="J1774" s="5"/>
      <c r="K1774" s="7"/>
      <c r="L1774" s="5">
        <v>7.2</v>
      </c>
      <c r="M1774" s="2" t="s">
        <v>47</v>
      </c>
      <c r="N1774" s="5">
        <v>41</v>
      </c>
      <c r="O1774" s="5">
        <v>27.6</v>
      </c>
      <c r="P1774" s="5">
        <v>19.2</v>
      </c>
      <c r="Q1774" s="2" t="s">
        <v>18</v>
      </c>
      <c r="R1774" s="5">
        <v>138.24</v>
      </c>
      <c r="S1774" s="5"/>
      <c r="T1774" s="9"/>
      <c r="U1774" s="9"/>
      <c r="V1774" s="5"/>
      <c r="W1774" s="6" t="s">
        <v>2719</v>
      </c>
    </row>
    <row r="1775" spans="1:24" x14ac:dyDescent="0.15">
      <c r="A1775" s="1" t="s">
        <v>277</v>
      </c>
      <c r="B1775" s="1" t="s">
        <v>3948</v>
      </c>
      <c r="C1775" s="1" t="s">
        <v>1080</v>
      </c>
      <c r="D1775" s="1" t="s">
        <v>798</v>
      </c>
      <c r="E1775" s="1"/>
      <c r="F1775" s="1" t="s">
        <v>848</v>
      </c>
      <c r="G1775" s="1" t="s">
        <v>374</v>
      </c>
      <c r="H1775" s="1" t="str">
        <f t="shared" si="59"/>
        <v>C</v>
      </c>
      <c r="I1775" s="8"/>
      <c r="J1775" s="8"/>
      <c r="K1775" s="8" t="s">
        <v>4004</v>
      </c>
      <c r="L1775" s="8"/>
      <c r="M1775" s="8" t="s">
        <v>47</v>
      </c>
      <c r="N1775" s="8">
        <v>42</v>
      </c>
      <c r="O1775" s="8">
        <v>27</v>
      </c>
      <c r="P1775" s="8">
        <v>18.792999999999999</v>
      </c>
      <c r="Q1775" s="1" t="s">
        <v>376</v>
      </c>
      <c r="R1775" s="8"/>
      <c r="S1775" s="8" t="s">
        <v>4005</v>
      </c>
      <c r="T1775" s="1"/>
      <c r="U1775" s="1"/>
      <c r="V1775" s="8"/>
      <c r="W1775" s="3" t="s">
        <v>4008</v>
      </c>
      <c r="X1775" s="1"/>
    </row>
    <row r="1776" spans="1:24" ht="12.75" customHeight="1" x14ac:dyDescent="0.15">
      <c r="A1776" s="2" t="s">
        <v>277</v>
      </c>
      <c r="B1776" s="4" t="s">
        <v>3948</v>
      </c>
      <c r="C1776" s="2" t="s">
        <v>1080</v>
      </c>
      <c r="D1776" s="2" t="s">
        <v>798</v>
      </c>
      <c r="E1776" s="1"/>
      <c r="F1776" s="2" t="s">
        <v>26</v>
      </c>
      <c r="G1776" s="2">
        <v>-4.5</v>
      </c>
      <c r="H1776" s="2" t="str">
        <f t="shared" si="59"/>
        <v>W</v>
      </c>
      <c r="I1776" s="5"/>
      <c r="J1776" s="5"/>
      <c r="K1776" s="5"/>
      <c r="L1776" s="7">
        <v>8.6999999999999993</v>
      </c>
      <c r="M1776" s="2" t="s">
        <v>47</v>
      </c>
      <c r="N1776" s="5">
        <v>39.72</v>
      </c>
      <c r="O1776" s="5">
        <v>24.27</v>
      </c>
      <c r="P1776" s="5">
        <v>16.55</v>
      </c>
      <c r="Q1776" s="2" t="s">
        <v>18</v>
      </c>
      <c r="R1776" s="5">
        <v>143.99</v>
      </c>
      <c r="S1776" s="5"/>
      <c r="V1776" s="5"/>
      <c r="W1776" s="6" t="s">
        <v>2749</v>
      </c>
    </row>
    <row r="1777" spans="1:23" ht="12.75" customHeight="1" x14ac:dyDescent="0.15">
      <c r="A1777" s="2" t="s">
        <v>277</v>
      </c>
      <c r="B1777" s="4" t="s">
        <v>3948</v>
      </c>
      <c r="C1777" s="2" t="s">
        <v>1080</v>
      </c>
      <c r="D1777" s="2" t="s">
        <v>798</v>
      </c>
      <c r="E1777" s="1"/>
      <c r="F1777" s="2" t="s">
        <v>2274</v>
      </c>
      <c r="H1777" s="2" t="s">
        <v>3887</v>
      </c>
      <c r="I1777" s="5"/>
      <c r="J1777" s="5"/>
      <c r="K1777" s="5">
        <v>9</v>
      </c>
      <c r="L1777" s="5"/>
      <c r="M1777" s="2" t="s">
        <v>47</v>
      </c>
      <c r="N1777" s="5"/>
      <c r="O1777" s="5"/>
      <c r="P1777" s="5"/>
      <c r="R1777" s="5"/>
      <c r="S1777" s="5"/>
      <c r="V1777" s="5"/>
      <c r="W1777" s="6" t="s">
        <v>2066</v>
      </c>
    </row>
    <row r="1778" spans="1:23" x14ac:dyDescent="0.15">
      <c r="A1778" s="2" t="s">
        <v>277</v>
      </c>
      <c r="B1778" s="4" t="s">
        <v>3948</v>
      </c>
      <c r="C1778" s="2" t="s">
        <v>1080</v>
      </c>
      <c r="D1778" s="2" t="s">
        <v>798</v>
      </c>
      <c r="E1778" s="1"/>
      <c r="F1778" s="2" t="s">
        <v>848</v>
      </c>
      <c r="H1778" s="2" t="s">
        <v>3887</v>
      </c>
      <c r="I1778" s="5">
        <v>18</v>
      </c>
      <c r="J1778" s="5"/>
      <c r="K1778" s="5"/>
      <c r="L1778" s="5">
        <v>9</v>
      </c>
      <c r="M1778" s="2" t="s">
        <v>47</v>
      </c>
      <c r="N1778" s="5">
        <v>43</v>
      </c>
      <c r="O1778" s="5">
        <v>27</v>
      </c>
      <c r="P1778" s="5">
        <v>19.251000000000001</v>
      </c>
      <c r="Q1778" s="2" t="s">
        <v>376</v>
      </c>
      <c r="R1778" s="5">
        <f>P1778*L1778</f>
        <v>173.25900000000001</v>
      </c>
      <c r="S1778" s="5"/>
      <c r="V1778" s="5"/>
      <c r="W1778" s="6" t="s">
        <v>2165</v>
      </c>
    </row>
    <row r="1779" spans="1:23" x14ac:dyDescent="0.15">
      <c r="A1779" s="2" t="s">
        <v>277</v>
      </c>
      <c r="B1779" s="4" t="s">
        <v>3948</v>
      </c>
      <c r="C1779" s="2" t="s">
        <v>1080</v>
      </c>
      <c r="D1779" s="2" t="s">
        <v>798</v>
      </c>
      <c r="E1779" s="1"/>
      <c r="F1779" s="2" t="s">
        <v>26</v>
      </c>
      <c r="H1779" s="2" t="s">
        <v>3887</v>
      </c>
      <c r="I1779" s="5"/>
      <c r="J1779" s="5"/>
      <c r="K1779" s="5">
        <v>9</v>
      </c>
      <c r="L1779" s="5"/>
      <c r="N1779" s="5"/>
      <c r="O1779" s="5"/>
      <c r="P1779" s="5"/>
      <c r="R1779" s="5"/>
      <c r="S1779" s="5"/>
      <c r="V1779" s="5"/>
      <c r="W1779" s="6" t="s">
        <v>4067</v>
      </c>
    </row>
    <row r="1780" spans="1:23" x14ac:dyDescent="0.15">
      <c r="A1780" s="2" t="s">
        <v>277</v>
      </c>
      <c r="B1780" s="4" t="s">
        <v>3948</v>
      </c>
      <c r="C1780" s="2" t="s">
        <v>1080</v>
      </c>
      <c r="D1780" s="2" t="s">
        <v>799</v>
      </c>
      <c r="E1780" s="1"/>
      <c r="F1780" s="2" t="s">
        <v>280</v>
      </c>
      <c r="G1780" s="2">
        <v>-1.3</v>
      </c>
      <c r="H1780" s="2" t="str">
        <f t="shared" ref="H1780:H1811" si="60">IF(G1780="captive","C","W")</f>
        <v>W</v>
      </c>
      <c r="I1780" s="5">
        <v>66</v>
      </c>
      <c r="J1780" s="5">
        <v>25800</v>
      </c>
      <c r="K1780" s="5"/>
      <c r="L1780" s="5">
        <v>91.5</v>
      </c>
      <c r="M1780" s="2" t="s">
        <v>191</v>
      </c>
      <c r="N1780" s="5">
        <v>39.1</v>
      </c>
      <c r="O1780" s="5">
        <f>( P1780+ 33.474)/1.6957</f>
        <v>38.965618918440761</v>
      </c>
      <c r="P1780" s="5">
        <v>32.6</v>
      </c>
      <c r="Q1780" s="2" t="s">
        <v>18</v>
      </c>
      <c r="R1780" s="5">
        <v>3673</v>
      </c>
      <c r="S1780" s="5">
        <f>(R1780/J1780)*100</f>
        <v>14.236434108527133</v>
      </c>
      <c r="V1780" s="5"/>
      <c r="W1780" s="6" t="s">
        <v>2054</v>
      </c>
    </row>
    <row r="1781" spans="1:23" x14ac:dyDescent="0.15">
      <c r="A1781" s="2" t="s">
        <v>277</v>
      </c>
      <c r="B1781" s="4" t="s">
        <v>3948</v>
      </c>
      <c r="C1781" s="2" t="s">
        <v>1080</v>
      </c>
      <c r="D1781" s="2" t="s">
        <v>799</v>
      </c>
      <c r="E1781" s="1"/>
      <c r="F1781" s="4" t="s">
        <v>26</v>
      </c>
      <c r="G1781" s="4">
        <v>-13.2</v>
      </c>
      <c r="H1781" s="2" t="str">
        <f t="shared" si="60"/>
        <v>W</v>
      </c>
      <c r="I1781" s="33"/>
      <c r="J1781" s="33"/>
      <c r="K1781" s="33"/>
      <c r="L1781" s="33">
        <v>94.42</v>
      </c>
      <c r="M1781" s="2" t="s">
        <v>191</v>
      </c>
      <c r="N1781" s="5"/>
      <c r="O1781" s="5"/>
      <c r="P1781" s="5"/>
      <c r="R1781" s="33"/>
      <c r="S1781" s="33"/>
      <c r="T1781" s="4"/>
      <c r="U1781" s="4"/>
      <c r="V1781" s="33"/>
      <c r="W1781" s="10" t="s">
        <v>2060</v>
      </c>
    </row>
    <row r="1782" spans="1:23" x14ac:dyDescent="0.15">
      <c r="A1782" s="2" t="s">
        <v>277</v>
      </c>
      <c r="B1782" s="4" t="s">
        <v>3948</v>
      </c>
      <c r="C1782" s="2" t="s">
        <v>1080</v>
      </c>
      <c r="D1782" s="2" t="s">
        <v>799</v>
      </c>
      <c r="E1782" s="1"/>
      <c r="F1782" s="2" t="s">
        <v>58</v>
      </c>
      <c r="G1782" s="2">
        <v>6.47</v>
      </c>
      <c r="H1782" s="2" t="str">
        <f t="shared" si="60"/>
        <v>W</v>
      </c>
      <c r="I1782" s="5"/>
      <c r="J1782" s="5"/>
      <c r="K1782" s="5"/>
      <c r="L1782" s="5">
        <v>75</v>
      </c>
      <c r="M1782" s="2" t="s">
        <v>191</v>
      </c>
      <c r="N1782" s="5">
        <v>44.73</v>
      </c>
      <c r="O1782" s="5">
        <v>41.01</v>
      </c>
      <c r="P1782" s="5">
        <v>40.369999999999997</v>
      </c>
      <c r="Q1782" s="2" t="s">
        <v>1919</v>
      </c>
      <c r="R1782" s="5">
        <v>3028</v>
      </c>
      <c r="S1782" s="5"/>
      <c r="V1782" s="5"/>
      <c r="W1782" s="6" t="s">
        <v>2745</v>
      </c>
    </row>
    <row r="1783" spans="1:23" x14ac:dyDescent="0.15">
      <c r="A1783" s="2" t="s">
        <v>277</v>
      </c>
      <c r="B1783" s="4" t="s">
        <v>3948</v>
      </c>
      <c r="C1783" s="2" t="s">
        <v>1080</v>
      </c>
      <c r="D1783" s="2" t="s">
        <v>799</v>
      </c>
      <c r="E1783" s="1"/>
      <c r="F1783" s="2" t="s">
        <v>26</v>
      </c>
      <c r="G1783" s="2">
        <v>-13.5</v>
      </c>
      <c r="H1783" s="2" t="str">
        <f t="shared" si="60"/>
        <v>W</v>
      </c>
      <c r="I1783" s="5"/>
      <c r="J1783" s="5"/>
      <c r="K1783" s="5"/>
      <c r="L1783" s="7">
        <v>103.4</v>
      </c>
      <c r="M1783" s="9" t="s">
        <v>191</v>
      </c>
      <c r="N1783" s="5">
        <v>39.58</v>
      </c>
      <c r="O1783" s="5">
        <v>39.47</v>
      </c>
      <c r="P1783" s="5">
        <v>33.65</v>
      </c>
      <c r="Q1783" s="2" t="s">
        <v>1919</v>
      </c>
      <c r="R1783" s="5">
        <v>3479.8</v>
      </c>
      <c r="S1783" s="5"/>
      <c r="V1783" s="5"/>
      <c r="W1783" s="6" t="s">
        <v>3148</v>
      </c>
    </row>
    <row r="1784" spans="1:23" x14ac:dyDescent="0.15">
      <c r="A1784" s="2" t="s">
        <v>277</v>
      </c>
      <c r="B1784" s="4" t="s">
        <v>3948</v>
      </c>
      <c r="C1784" s="2" t="s">
        <v>1080</v>
      </c>
      <c r="D1784" s="2" t="s">
        <v>799</v>
      </c>
      <c r="E1784" s="1"/>
      <c r="F1784" s="4" t="s">
        <v>287</v>
      </c>
      <c r="G1784" s="4">
        <v>-9.9</v>
      </c>
      <c r="H1784" s="2" t="str">
        <f t="shared" si="60"/>
        <v>W</v>
      </c>
      <c r="I1784" s="33"/>
      <c r="J1784" s="33"/>
      <c r="K1784" s="33"/>
      <c r="L1784" s="33">
        <v>107.5</v>
      </c>
      <c r="M1784" s="4" t="s">
        <v>191</v>
      </c>
      <c r="N1784" s="5"/>
      <c r="O1784" s="5"/>
      <c r="P1784" s="5"/>
      <c r="R1784" s="5"/>
      <c r="S1784" s="5"/>
      <c r="T1784" s="4"/>
      <c r="U1784" s="4"/>
      <c r="V1784" s="33"/>
      <c r="W1784" s="10" t="s">
        <v>2064</v>
      </c>
    </row>
    <row r="1785" spans="1:23" x14ac:dyDescent="0.15">
      <c r="A1785" s="2" t="s">
        <v>277</v>
      </c>
      <c r="B1785" s="4" t="s">
        <v>3948</v>
      </c>
      <c r="C1785" s="2" t="s">
        <v>1080</v>
      </c>
      <c r="D1785" s="2" t="s">
        <v>799</v>
      </c>
      <c r="E1785" s="1"/>
      <c r="F1785" s="4" t="s">
        <v>286</v>
      </c>
      <c r="G1785" s="4">
        <v>-9.9</v>
      </c>
      <c r="H1785" s="2" t="str">
        <f t="shared" si="60"/>
        <v>W</v>
      </c>
      <c r="I1785" s="33"/>
      <c r="J1785" s="33"/>
      <c r="K1785" s="33"/>
      <c r="L1785" s="33">
        <v>105.9</v>
      </c>
      <c r="M1785" s="4" t="s">
        <v>191</v>
      </c>
      <c r="N1785" s="33"/>
      <c r="O1785" s="33"/>
      <c r="P1785" s="33"/>
      <c r="Q1785" s="4"/>
      <c r="R1785" s="33"/>
      <c r="S1785" s="33"/>
      <c r="T1785" s="4"/>
      <c r="U1785" s="4"/>
      <c r="V1785" s="33"/>
      <c r="W1785" s="10" t="s">
        <v>2064</v>
      </c>
    </row>
    <row r="1786" spans="1:23" x14ac:dyDescent="0.15">
      <c r="A1786" s="2" t="s">
        <v>277</v>
      </c>
      <c r="B1786" s="4" t="s">
        <v>3948</v>
      </c>
      <c r="C1786" s="2" t="s">
        <v>1080</v>
      </c>
      <c r="D1786" s="2" t="s">
        <v>799</v>
      </c>
      <c r="E1786" s="1"/>
      <c r="F1786" s="4"/>
      <c r="G1786" s="4">
        <v>-1.9</v>
      </c>
      <c r="H1786" s="2" t="str">
        <f t="shared" si="60"/>
        <v>W</v>
      </c>
      <c r="I1786" s="33"/>
      <c r="J1786" s="33"/>
      <c r="K1786" s="33"/>
      <c r="L1786" s="5"/>
      <c r="M1786" s="4" t="s">
        <v>191</v>
      </c>
      <c r="N1786" s="5">
        <f xml:space="preserve"> (P1786- (0.522*O1786) + 34.399)/1.193</f>
        <v>43.557300922045258</v>
      </c>
      <c r="O1786" s="5">
        <v>41.37</v>
      </c>
      <c r="P1786" s="5">
        <v>39.159999999999997</v>
      </c>
      <c r="Q1786" s="2" t="s">
        <v>18</v>
      </c>
      <c r="R1786" s="5"/>
      <c r="S1786" s="5"/>
      <c r="T1786" s="4"/>
      <c r="U1786" s="4"/>
      <c r="V1786" s="33"/>
      <c r="W1786" s="10" t="s">
        <v>2055</v>
      </c>
    </row>
    <row r="1787" spans="1:23" x14ac:dyDescent="0.15">
      <c r="A1787" s="2" t="s">
        <v>277</v>
      </c>
      <c r="B1787" s="4" t="s">
        <v>3948</v>
      </c>
      <c r="C1787" s="2" t="s">
        <v>1080</v>
      </c>
      <c r="D1787" s="2" t="s">
        <v>799</v>
      </c>
      <c r="E1787" s="1"/>
      <c r="F1787" s="2" t="s">
        <v>58</v>
      </c>
      <c r="G1787" s="2">
        <v>6.48</v>
      </c>
      <c r="H1787" s="2" t="str">
        <f t="shared" si="60"/>
        <v>W</v>
      </c>
      <c r="I1787" s="5">
        <v>75.5</v>
      </c>
      <c r="J1787" s="5">
        <v>56000</v>
      </c>
      <c r="K1787" s="5"/>
      <c r="L1787" s="5">
        <v>156</v>
      </c>
      <c r="M1787" s="2" t="s">
        <v>191</v>
      </c>
      <c r="N1787" s="5">
        <v>42</v>
      </c>
      <c r="O1787" s="5">
        <v>42</v>
      </c>
      <c r="P1787" s="5">
        <v>37.659999999999997</v>
      </c>
      <c r="Q1787" s="2" t="s">
        <v>376</v>
      </c>
      <c r="R1787" s="5">
        <f>P1787*L1787</f>
        <v>5874.9599999999991</v>
      </c>
      <c r="S1787" s="5">
        <f>(R1787/J1787)*100</f>
        <v>10.491</v>
      </c>
      <c r="V1787" s="5"/>
      <c r="W1787" s="6" t="s">
        <v>3544</v>
      </c>
    </row>
    <row r="1788" spans="1:23" x14ac:dyDescent="0.15">
      <c r="A1788" s="2" t="s">
        <v>277</v>
      </c>
      <c r="B1788" s="4" t="s">
        <v>3948</v>
      </c>
      <c r="C1788" s="2" t="s">
        <v>1080</v>
      </c>
      <c r="D1788" s="2" t="s">
        <v>799</v>
      </c>
      <c r="E1788" s="1"/>
      <c r="F1788" s="2" t="s">
        <v>2274</v>
      </c>
      <c r="H1788" s="2" t="s">
        <v>3887</v>
      </c>
      <c r="I1788" s="5"/>
      <c r="J1788" s="5"/>
      <c r="K1788" s="7">
        <f>MEDIAN(11,28)</f>
        <v>19.5</v>
      </c>
      <c r="L1788" s="5"/>
      <c r="M1788" s="2" t="s">
        <v>191</v>
      </c>
      <c r="N1788" s="5"/>
      <c r="O1788" s="5"/>
      <c r="P1788" s="5"/>
      <c r="R1788" s="5"/>
      <c r="S1788" s="5"/>
      <c r="V1788" s="5"/>
      <c r="W1788" s="6" t="s">
        <v>2066</v>
      </c>
    </row>
    <row r="1789" spans="1:23" x14ac:dyDescent="0.15">
      <c r="A1789" s="2" t="s">
        <v>277</v>
      </c>
      <c r="B1789" s="4" t="s">
        <v>3948</v>
      </c>
      <c r="C1789" s="2" t="s">
        <v>1080</v>
      </c>
      <c r="D1789" s="2" t="s">
        <v>799</v>
      </c>
      <c r="E1789" s="1"/>
      <c r="F1789" s="4" t="s">
        <v>26</v>
      </c>
      <c r="G1789" s="4">
        <v>-9.9</v>
      </c>
      <c r="H1789" s="2" t="str">
        <f t="shared" si="60"/>
        <v>W</v>
      </c>
      <c r="I1789" s="5">
        <v>71.900000000000006</v>
      </c>
      <c r="J1789" s="5">
        <f>(29.1*1000)+R1789</f>
        <v>32958.400000000001</v>
      </c>
      <c r="K1789" s="5"/>
      <c r="L1789" s="5">
        <v>106</v>
      </c>
      <c r="M1789" s="4" t="s">
        <v>191</v>
      </c>
      <c r="N1789" s="5">
        <v>41.3</v>
      </c>
      <c r="O1789" s="5">
        <v>38.799999999999997</v>
      </c>
      <c r="P1789" s="5">
        <v>36.4</v>
      </c>
      <c r="Q1789" s="2" t="s">
        <v>18</v>
      </c>
      <c r="R1789" s="5">
        <f>P1789*L1789</f>
        <v>3858.3999999999996</v>
      </c>
      <c r="S1789" s="5">
        <f>(R1789/J1789)*100</f>
        <v>11.706878974707509</v>
      </c>
      <c r="T1789" s="4"/>
      <c r="U1789" s="4"/>
      <c r="V1789" s="33"/>
      <c r="W1789" s="10" t="s">
        <v>2056</v>
      </c>
    </row>
    <row r="1790" spans="1:23" x14ac:dyDescent="0.15">
      <c r="A1790" s="2" t="s">
        <v>277</v>
      </c>
      <c r="B1790" s="4" t="s">
        <v>3948</v>
      </c>
      <c r="C1790" s="2" t="s">
        <v>1080</v>
      </c>
      <c r="D1790" s="2" t="s">
        <v>799</v>
      </c>
      <c r="E1790" s="1"/>
      <c r="F1790" s="4" t="s">
        <v>26</v>
      </c>
      <c r="G1790" s="4">
        <v>-9.9</v>
      </c>
      <c r="H1790" s="2" t="str">
        <f t="shared" si="60"/>
        <v>W</v>
      </c>
      <c r="I1790" s="5"/>
      <c r="J1790" s="5"/>
      <c r="K1790" s="5"/>
      <c r="L1790" s="5">
        <v>105</v>
      </c>
      <c r="M1790" s="4" t="s">
        <v>191</v>
      </c>
      <c r="N1790" s="5"/>
      <c r="O1790" s="5"/>
      <c r="P1790" s="5"/>
      <c r="R1790" s="5"/>
      <c r="S1790" s="5"/>
      <c r="T1790" s="4"/>
      <c r="U1790" s="4"/>
      <c r="V1790" s="33"/>
      <c r="W1790" s="10" t="s">
        <v>2058</v>
      </c>
    </row>
    <row r="1791" spans="1:23" x14ac:dyDescent="0.15">
      <c r="A1791" s="2" t="s">
        <v>277</v>
      </c>
      <c r="B1791" s="4" t="s">
        <v>3948</v>
      </c>
      <c r="C1791" s="2" t="s">
        <v>1080</v>
      </c>
      <c r="D1791" s="2" t="s">
        <v>799</v>
      </c>
      <c r="E1791" s="1"/>
      <c r="F1791" s="4" t="s">
        <v>26</v>
      </c>
      <c r="G1791" s="4">
        <v>-9.9</v>
      </c>
      <c r="H1791" s="2" t="str">
        <f t="shared" si="60"/>
        <v>W</v>
      </c>
      <c r="I1791" s="5"/>
      <c r="J1791" s="5"/>
      <c r="K1791" s="5"/>
      <c r="L1791" s="5">
        <v>105</v>
      </c>
      <c r="M1791" s="4" t="s">
        <v>191</v>
      </c>
      <c r="N1791" s="5"/>
      <c r="O1791" s="5"/>
      <c r="P1791" s="5"/>
      <c r="R1791" s="5"/>
      <c r="S1791" s="5"/>
      <c r="T1791" s="4"/>
      <c r="U1791" s="4"/>
      <c r="V1791" s="33"/>
      <c r="W1791" s="10" t="s">
        <v>2057</v>
      </c>
    </row>
    <row r="1792" spans="1:23" x14ac:dyDescent="0.15">
      <c r="A1792" s="2" t="s">
        <v>277</v>
      </c>
      <c r="B1792" s="4" t="s">
        <v>3948</v>
      </c>
      <c r="C1792" s="2" t="s">
        <v>1080</v>
      </c>
      <c r="D1792" s="2" t="s">
        <v>799</v>
      </c>
      <c r="E1792" s="1"/>
      <c r="F1792" s="4" t="s">
        <v>26</v>
      </c>
      <c r="G1792" s="4">
        <v>-0.8</v>
      </c>
      <c r="H1792" s="2" t="str">
        <f t="shared" si="60"/>
        <v>W</v>
      </c>
      <c r="I1792" s="5"/>
      <c r="J1792" s="5"/>
      <c r="K1792" s="5"/>
      <c r="L1792" s="5">
        <v>103.1</v>
      </c>
      <c r="M1792" s="4" t="s">
        <v>191</v>
      </c>
      <c r="N1792" s="5"/>
      <c r="O1792" s="5">
        <f>( P1792+ 33.474)/1.6957</f>
        <v>44.391106917497197</v>
      </c>
      <c r="P1792" s="5">
        <v>41.8</v>
      </c>
      <c r="Q1792" s="2" t="s">
        <v>18</v>
      </c>
      <c r="R1792" s="5">
        <f>P1792*L1792</f>
        <v>4309.579999999999</v>
      </c>
      <c r="S1792" s="5"/>
      <c r="T1792" s="4"/>
      <c r="U1792" s="4"/>
      <c r="V1792" s="33"/>
      <c r="W1792" s="10" t="s">
        <v>2059</v>
      </c>
    </row>
    <row r="1793" spans="1:23" x14ac:dyDescent="0.15">
      <c r="A1793" s="2" t="s">
        <v>277</v>
      </c>
      <c r="B1793" s="4" t="s">
        <v>3948</v>
      </c>
      <c r="C1793" s="2" t="s">
        <v>1080</v>
      </c>
      <c r="D1793" s="2" t="s">
        <v>799</v>
      </c>
      <c r="E1793" s="1"/>
      <c r="F1793" s="2" t="s">
        <v>880</v>
      </c>
      <c r="H1793" s="2" t="str">
        <f t="shared" si="60"/>
        <v>W</v>
      </c>
      <c r="I1793" s="5">
        <v>65.099999999999994</v>
      </c>
      <c r="J1793" s="5">
        <f>(371.8954*EXP(0.0063*(I1793*10)))</f>
        <v>22469.466720398006</v>
      </c>
      <c r="K1793" s="5">
        <v>15</v>
      </c>
      <c r="L1793" s="5"/>
      <c r="M1793" s="2" t="s">
        <v>191</v>
      </c>
      <c r="N1793" s="5">
        <v>42</v>
      </c>
      <c r="O1793" s="5">
        <v>39.5</v>
      </c>
      <c r="P1793" s="5">
        <f xml:space="preserve"> 1.193*N1793 + 0.522*O1793 - 34.399</f>
        <v>36.325999999999993</v>
      </c>
      <c r="Q1793" s="2" t="s">
        <v>376</v>
      </c>
      <c r="R1793" s="5"/>
      <c r="S1793" s="5"/>
      <c r="T1793" s="2">
        <v>1</v>
      </c>
      <c r="U1793" s="2" t="str">
        <f>IF(T1793&lt;=1, "1",IF(AND(T1793&gt;1,T1793&lt;4), "2-3", "+4"))</f>
        <v>1</v>
      </c>
      <c r="V1793" s="5"/>
      <c r="W1793" s="6" t="s">
        <v>1886</v>
      </c>
    </row>
    <row r="1794" spans="1:23" x14ac:dyDescent="0.15">
      <c r="A1794" s="2" t="s">
        <v>277</v>
      </c>
      <c r="B1794" s="4" t="s">
        <v>3948</v>
      </c>
      <c r="C1794" s="2" t="s">
        <v>1080</v>
      </c>
      <c r="D1794" s="2" t="s">
        <v>799</v>
      </c>
      <c r="E1794" s="1"/>
      <c r="F1794" s="4" t="s">
        <v>58</v>
      </c>
      <c r="G1794" s="4">
        <v>6.49</v>
      </c>
      <c r="H1794" s="2" t="str">
        <f t="shared" si="60"/>
        <v>W</v>
      </c>
      <c r="I1794" s="5">
        <v>65</v>
      </c>
      <c r="J1794" s="5">
        <v>30000</v>
      </c>
      <c r="K1794" s="5"/>
      <c r="L1794" s="5">
        <v>75</v>
      </c>
      <c r="M1794" s="4" t="s">
        <v>191</v>
      </c>
      <c r="N1794" s="5">
        <v>45</v>
      </c>
      <c r="O1794" s="5">
        <v>45</v>
      </c>
      <c r="P1794" s="5">
        <v>40</v>
      </c>
      <c r="Q1794" s="2" t="s">
        <v>18</v>
      </c>
      <c r="R1794" s="5">
        <v>3000</v>
      </c>
      <c r="S1794" s="5">
        <v>10</v>
      </c>
      <c r="T1794" s="4"/>
      <c r="U1794" s="4"/>
      <c r="V1794" s="33"/>
      <c r="W1794" s="10" t="s">
        <v>3562</v>
      </c>
    </row>
    <row r="1795" spans="1:23" x14ac:dyDescent="0.15">
      <c r="A1795" s="2" t="s">
        <v>277</v>
      </c>
      <c r="B1795" s="4" t="s">
        <v>3948</v>
      </c>
      <c r="C1795" s="2" t="s">
        <v>1080</v>
      </c>
      <c r="D1795" s="2" t="s">
        <v>799</v>
      </c>
      <c r="E1795" s="1"/>
      <c r="F1795" s="2" t="s">
        <v>848</v>
      </c>
      <c r="H1795" s="2" t="str">
        <f t="shared" si="60"/>
        <v>W</v>
      </c>
      <c r="I1795" s="5"/>
      <c r="J1795" s="5"/>
      <c r="K1795" s="5"/>
      <c r="L1795" s="5">
        <v>96</v>
      </c>
      <c r="M1795" s="2" t="s">
        <v>191</v>
      </c>
      <c r="N1795" s="5">
        <v>42</v>
      </c>
      <c r="O1795" s="5">
        <v>42</v>
      </c>
      <c r="P1795" s="5">
        <f xml:space="preserve"> (1.193*N1795) + (0.522*O1795) - 34.399</f>
        <v>37.631</v>
      </c>
      <c r="Q1795" s="2" t="s">
        <v>376</v>
      </c>
      <c r="R1795" s="5">
        <f>P1795*L1795</f>
        <v>3612.576</v>
      </c>
      <c r="S1795" s="5"/>
      <c r="V1795" s="5"/>
      <c r="W1795" s="6" t="s">
        <v>2165</v>
      </c>
    </row>
    <row r="1796" spans="1:23" x14ac:dyDescent="0.15">
      <c r="A1796" s="2" t="s">
        <v>277</v>
      </c>
      <c r="B1796" s="4" t="s">
        <v>3948</v>
      </c>
      <c r="C1796" s="2" t="s">
        <v>1080</v>
      </c>
      <c r="D1796" s="2" t="s">
        <v>799</v>
      </c>
      <c r="E1796" s="1"/>
      <c r="F1796" s="2" t="s">
        <v>2240</v>
      </c>
      <c r="G1796" s="2" t="s">
        <v>374</v>
      </c>
      <c r="H1796" s="2" t="str">
        <f t="shared" si="60"/>
        <v>C</v>
      </c>
      <c r="I1796" s="5"/>
      <c r="J1796" s="5"/>
      <c r="K1796" s="5"/>
      <c r="L1796" s="5">
        <v>42</v>
      </c>
      <c r="M1796" s="4" t="s">
        <v>191</v>
      </c>
      <c r="N1796" s="5"/>
      <c r="O1796" s="5"/>
      <c r="P1796" s="5"/>
      <c r="R1796" s="5"/>
      <c r="S1796" s="5"/>
      <c r="V1796" s="5"/>
      <c r="W1796" s="6" t="s">
        <v>3294</v>
      </c>
    </row>
    <row r="1797" spans="1:23" x14ac:dyDescent="0.15">
      <c r="A1797" s="2" t="s">
        <v>277</v>
      </c>
      <c r="B1797" s="4" t="s">
        <v>3948</v>
      </c>
      <c r="C1797" s="2" t="s">
        <v>1080</v>
      </c>
      <c r="D1797" s="2" t="s">
        <v>799</v>
      </c>
      <c r="E1797" s="1"/>
      <c r="F1797" s="2" t="s">
        <v>26</v>
      </c>
      <c r="G1797" s="2">
        <v>-12.47</v>
      </c>
      <c r="H1797" s="2" t="str">
        <f t="shared" si="60"/>
        <v>W</v>
      </c>
      <c r="I1797" s="5">
        <v>74.08</v>
      </c>
      <c r="J1797" s="5">
        <v>36290</v>
      </c>
      <c r="K1797" s="5"/>
      <c r="L1797" s="5"/>
      <c r="M1797" s="4" t="s">
        <v>191</v>
      </c>
      <c r="N1797" s="5"/>
      <c r="O1797" s="5"/>
      <c r="P1797" s="5"/>
      <c r="R1797" s="5"/>
      <c r="S1797" s="5"/>
      <c r="V1797" s="5"/>
      <c r="W1797" s="6" t="s">
        <v>3440</v>
      </c>
    </row>
    <row r="1798" spans="1:23" x14ac:dyDescent="0.15">
      <c r="A1798" s="2" t="s">
        <v>277</v>
      </c>
      <c r="B1798" s="4" t="s">
        <v>3948</v>
      </c>
      <c r="C1798" s="2" t="s">
        <v>1080</v>
      </c>
      <c r="D1798" s="2" t="s">
        <v>799</v>
      </c>
      <c r="E1798" s="1"/>
      <c r="F1798" s="2" t="s">
        <v>602</v>
      </c>
      <c r="G1798" s="2">
        <v>-5.24</v>
      </c>
      <c r="H1798" s="2" t="str">
        <f t="shared" si="60"/>
        <v>W</v>
      </c>
      <c r="I1798" s="5"/>
      <c r="J1798" s="5"/>
      <c r="K1798" s="5"/>
      <c r="L1798" s="7">
        <v>136.88</v>
      </c>
      <c r="M1798" s="4" t="s">
        <v>191</v>
      </c>
      <c r="N1798" s="5"/>
      <c r="O1798" s="5"/>
      <c r="P1798" s="5">
        <v>35.21</v>
      </c>
      <c r="Q1798" s="2" t="s">
        <v>18</v>
      </c>
      <c r="R1798" s="5">
        <v>4820</v>
      </c>
      <c r="S1798" s="5"/>
      <c r="V1798" s="5"/>
      <c r="W1798" s="6" t="s">
        <v>2742</v>
      </c>
    </row>
    <row r="1799" spans="1:23" x14ac:dyDescent="0.15">
      <c r="A1799" s="2" t="s">
        <v>277</v>
      </c>
      <c r="B1799" s="4" t="s">
        <v>3948</v>
      </c>
      <c r="C1799" s="2" t="s">
        <v>1080</v>
      </c>
      <c r="D1799" s="2" t="s">
        <v>799</v>
      </c>
      <c r="E1799" s="1"/>
      <c r="F1799" s="2" t="s">
        <v>602</v>
      </c>
      <c r="G1799" s="2">
        <v>-5.24</v>
      </c>
      <c r="H1799" s="2" t="str">
        <f t="shared" si="60"/>
        <v>W</v>
      </c>
      <c r="I1799" s="5"/>
      <c r="J1799" s="5"/>
      <c r="K1799" s="5"/>
      <c r="L1799" s="7">
        <v>115.4</v>
      </c>
      <c r="M1799" s="4" t="s">
        <v>191</v>
      </c>
      <c r="N1799" s="5">
        <v>42.36</v>
      </c>
      <c r="O1799" s="5">
        <v>39.61</v>
      </c>
      <c r="P1799" s="5">
        <v>37.270000000000003</v>
      </c>
      <c r="Q1799" s="2" t="s">
        <v>18</v>
      </c>
      <c r="R1799" s="5">
        <v>4301</v>
      </c>
      <c r="S1799" s="5"/>
      <c r="V1799" s="5"/>
      <c r="W1799" s="6" t="s">
        <v>2747</v>
      </c>
    </row>
    <row r="1800" spans="1:23" x14ac:dyDescent="0.15">
      <c r="A1800" s="2" t="s">
        <v>277</v>
      </c>
      <c r="B1800" s="4" t="s">
        <v>3948</v>
      </c>
      <c r="C1800" s="2" t="s">
        <v>1080</v>
      </c>
      <c r="D1800" s="2" t="s">
        <v>799</v>
      </c>
      <c r="E1800" s="1"/>
      <c r="F1800" s="2" t="s">
        <v>602</v>
      </c>
      <c r="G1800" s="2">
        <v>-5.24</v>
      </c>
      <c r="H1800" s="2" t="str">
        <f t="shared" si="60"/>
        <v>W</v>
      </c>
      <c r="I1800" s="5"/>
      <c r="J1800" s="5"/>
      <c r="K1800" s="5"/>
      <c r="L1800" s="7">
        <v>141.1</v>
      </c>
      <c r="M1800" s="4" t="s">
        <v>191</v>
      </c>
      <c r="N1800" s="5"/>
      <c r="O1800" s="5"/>
      <c r="P1800" s="5">
        <v>33.69</v>
      </c>
      <c r="Q1800" s="2" t="s">
        <v>18</v>
      </c>
      <c r="R1800" s="5">
        <v>4753.3</v>
      </c>
      <c r="S1800" s="5"/>
      <c r="V1800" s="5"/>
      <c r="W1800" s="6" t="s">
        <v>2738</v>
      </c>
    </row>
    <row r="1801" spans="1:23" x14ac:dyDescent="0.15">
      <c r="A1801" s="2" t="s">
        <v>277</v>
      </c>
      <c r="B1801" s="4" t="s">
        <v>3948</v>
      </c>
      <c r="C1801" s="2" t="s">
        <v>1080</v>
      </c>
      <c r="D1801" s="2" t="s">
        <v>799</v>
      </c>
      <c r="E1801" s="1"/>
      <c r="F1801" s="2" t="s">
        <v>602</v>
      </c>
      <c r="G1801" s="2">
        <v>-5.24</v>
      </c>
      <c r="H1801" s="2" t="str">
        <f t="shared" si="60"/>
        <v>W</v>
      </c>
      <c r="I1801" s="5">
        <v>76.3</v>
      </c>
      <c r="J1801" s="5">
        <f>(371.8954*EXP(0.0063*(I1801*10)))</f>
        <v>45502.048774584298</v>
      </c>
      <c r="K1801" s="5"/>
      <c r="L1801" s="7">
        <v>126.4</v>
      </c>
      <c r="M1801" s="4" t="s">
        <v>191</v>
      </c>
      <c r="N1801" s="5">
        <v>40.799999999999997</v>
      </c>
      <c r="O1801" s="5">
        <v>40.799999999999997</v>
      </c>
      <c r="P1801" s="5">
        <v>39</v>
      </c>
      <c r="Q1801" s="2" t="s">
        <v>18</v>
      </c>
      <c r="R1801" s="5">
        <v>4930</v>
      </c>
      <c r="S1801" s="5">
        <f>(R1801/J1801)*100</f>
        <v>10.83467697119104</v>
      </c>
      <c r="V1801" s="5"/>
      <c r="W1801" s="6" t="s">
        <v>3309</v>
      </c>
    </row>
    <row r="1802" spans="1:23" x14ac:dyDescent="0.15">
      <c r="A1802" s="2" t="s">
        <v>277</v>
      </c>
      <c r="B1802" s="4" t="s">
        <v>3948</v>
      </c>
      <c r="C1802" s="2" t="s">
        <v>1080</v>
      </c>
      <c r="D1802" s="2" t="s">
        <v>799</v>
      </c>
      <c r="E1802" s="1"/>
      <c r="F1802" s="2" t="s">
        <v>602</v>
      </c>
      <c r="G1802" s="2">
        <v>-5.24</v>
      </c>
      <c r="H1802" s="2" t="str">
        <f t="shared" si="60"/>
        <v>W</v>
      </c>
      <c r="I1802" s="5">
        <f>((LN(J1802/371.8954))/0.0063)/10</f>
        <v>72.554127816845835</v>
      </c>
      <c r="J1802" s="5">
        <v>35937</v>
      </c>
      <c r="K1802" s="5"/>
      <c r="L1802" s="7">
        <v>132.4</v>
      </c>
      <c r="M1802" s="4" t="s">
        <v>191</v>
      </c>
      <c r="N1802" s="5">
        <v>42.3</v>
      </c>
      <c r="O1802" s="5">
        <v>40.1</v>
      </c>
      <c r="P1802" s="5">
        <v>38</v>
      </c>
      <c r="Q1802" s="2" t="s">
        <v>18</v>
      </c>
      <c r="R1802" s="5">
        <v>5031.2</v>
      </c>
      <c r="S1802" s="5">
        <v>14</v>
      </c>
      <c r="V1802" s="5"/>
      <c r="W1802" s="6" t="s">
        <v>2746</v>
      </c>
    </row>
    <row r="1803" spans="1:23" x14ac:dyDescent="0.15">
      <c r="A1803" s="2" t="s">
        <v>277</v>
      </c>
      <c r="B1803" s="4" t="s">
        <v>3948</v>
      </c>
      <c r="C1803" s="2" t="s">
        <v>1080</v>
      </c>
      <c r="D1803" s="2" t="s">
        <v>799</v>
      </c>
      <c r="E1803" s="1"/>
      <c r="F1803" s="2" t="s">
        <v>602</v>
      </c>
      <c r="G1803" s="2">
        <v>-5.24</v>
      </c>
      <c r="H1803" s="2" t="str">
        <f t="shared" si="60"/>
        <v>W</v>
      </c>
      <c r="I1803" s="5">
        <f>((LN(J1803/371.8954))/0.0063)/10</f>
        <v>72.13477315132377</v>
      </c>
      <c r="J1803" s="5">
        <v>35000</v>
      </c>
      <c r="K1803" s="5"/>
      <c r="L1803" s="5">
        <v>132.4</v>
      </c>
      <c r="M1803" s="4" t="s">
        <v>191</v>
      </c>
      <c r="N1803" s="5">
        <v>42.3</v>
      </c>
      <c r="O1803" s="5">
        <v>40.1</v>
      </c>
      <c r="P1803" s="5">
        <v>38</v>
      </c>
      <c r="Q1803" s="2" t="s">
        <v>18</v>
      </c>
      <c r="R1803" s="5">
        <v>5031.2</v>
      </c>
      <c r="S1803" s="5">
        <v>14.37</v>
      </c>
      <c r="V1803" s="5"/>
      <c r="W1803" s="6" t="s">
        <v>2746</v>
      </c>
    </row>
    <row r="1804" spans="1:23" x14ac:dyDescent="0.15">
      <c r="A1804" s="2" t="s">
        <v>277</v>
      </c>
      <c r="B1804" s="4" t="s">
        <v>3948</v>
      </c>
      <c r="C1804" s="2" t="s">
        <v>1080</v>
      </c>
      <c r="D1804" s="2" t="s">
        <v>799</v>
      </c>
      <c r="E1804" s="1"/>
      <c r="F1804" s="2" t="s">
        <v>219</v>
      </c>
      <c r="G1804" s="2">
        <v>-0.84</v>
      </c>
      <c r="H1804" s="2" t="str">
        <f t="shared" si="60"/>
        <v>W</v>
      </c>
      <c r="I1804" s="5"/>
      <c r="J1804" s="5"/>
      <c r="K1804" s="5"/>
      <c r="L1804" s="5">
        <v>103.1</v>
      </c>
      <c r="M1804" s="4" t="s">
        <v>191</v>
      </c>
      <c r="N1804" s="5">
        <v>44.61</v>
      </c>
      <c r="O1804" s="5">
        <v>44.39</v>
      </c>
      <c r="P1804" s="5">
        <v>41.8</v>
      </c>
      <c r="Q1804" s="2" t="s">
        <v>18</v>
      </c>
      <c r="R1804" s="5">
        <v>4310</v>
      </c>
      <c r="S1804" s="5"/>
      <c r="V1804" s="5"/>
      <c r="W1804" s="6" t="s">
        <v>3230</v>
      </c>
    </row>
    <row r="1805" spans="1:23" x14ac:dyDescent="0.15">
      <c r="A1805" s="2" t="s">
        <v>277</v>
      </c>
      <c r="B1805" s="4" t="s">
        <v>3948</v>
      </c>
      <c r="C1805" s="2" t="s">
        <v>1080</v>
      </c>
      <c r="D1805" s="2" t="s">
        <v>799</v>
      </c>
      <c r="E1805" s="1"/>
      <c r="F1805" s="2" t="s">
        <v>26</v>
      </c>
      <c r="G1805" s="2">
        <v>-1.25</v>
      </c>
      <c r="H1805" s="2" t="str">
        <f t="shared" si="60"/>
        <v>W</v>
      </c>
      <c r="I1805" s="5">
        <v>70.05</v>
      </c>
      <c r="J1805" s="5">
        <f xml:space="preserve"> (371.8954*EXP(0.0063*700.5))</f>
        <v>30692.163240151323</v>
      </c>
      <c r="K1805" s="5"/>
      <c r="L1805" s="7"/>
      <c r="M1805" s="4" t="s">
        <v>191</v>
      </c>
      <c r="N1805" s="5"/>
      <c r="O1805" s="5"/>
      <c r="P1805" s="5"/>
      <c r="R1805" s="5"/>
      <c r="S1805" s="5"/>
      <c r="W1805" s="6" t="s">
        <v>2748</v>
      </c>
    </row>
    <row r="1806" spans="1:23" x14ac:dyDescent="0.15">
      <c r="A1806" s="2" t="s">
        <v>277</v>
      </c>
      <c r="B1806" s="4" t="s">
        <v>3948</v>
      </c>
      <c r="C1806" s="2" t="s">
        <v>1080</v>
      </c>
      <c r="D1806" s="2" t="s">
        <v>799</v>
      </c>
      <c r="E1806" s="1"/>
      <c r="F1806" s="4" t="s">
        <v>284</v>
      </c>
      <c r="G1806" s="4">
        <v>-7</v>
      </c>
      <c r="H1806" s="2" t="str">
        <f t="shared" si="60"/>
        <v>W</v>
      </c>
      <c r="I1806" s="33"/>
      <c r="J1806" s="33"/>
      <c r="K1806" s="33"/>
      <c r="L1806" s="33">
        <v>158.5</v>
      </c>
      <c r="M1806" s="4" t="s">
        <v>191</v>
      </c>
      <c r="N1806" s="33"/>
      <c r="O1806" s="33"/>
      <c r="P1806" s="33"/>
      <c r="Q1806" s="4"/>
      <c r="R1806" s="33"/>
      <c r="S1806" s="33"/>
      <c r="T1806" s="4"/>
      <c r="U1806" s="4"/>
      <c r="V1806" s="4"/>
      <c r="W1806" s="10" t="s">
        <v>2062</v>
      </c>
    </row>
    <row r="1807" spans="1:23" x14ac:dyDescent="0.15">
      <c r="A1807" s="2" t="s">
        <v>277</v>
      </c>
      <c r="B1807" s="4" t="s">
        <v>3948</v>
      </c>
      <c r="C1807" s="2" t="s">
        <v>1080</v>
      </c>
      <c r="D1807" s="2" t="s">
        <v>799</v>
      </c>
      <c r="E1807" s="1"/>
      <c r="F1807" s="4" t="s">
        <v>283</v>
      </c>
      <c r="G1807" s="4">
        <v>-6</v>
      </c>
      <c r="H1807" s="2" t="str">
        <f t="shared" si="60"/>
        <v>W</v>
      </c>
      <c r="I1807" s="33"/>
      <c r="J1807" s="33"/>
      <c r="K1807" s="33"/>
      <c r="L1807" s="33">
        <v>115.7</v>
      </c>
      <c r="M1807" s="4" t="s">
        <v>191</v>
      </c>
      <c r="N1807" s="33"/>
      <c r="O1807" s="33"/>
      <c r="P1807" s="33"/>
      <c r="Q1807" s="4"/>
      <c r="R1807" s="33"/>
      <c r="S1807" s="33"/>
      <c r="T1807" s="4"/>
      <c r="U1807" s="4"/>
      <c r="V1807" s="4"/>
      <c r="W1807" s="10" t="s">
        <v>2062</v>
      </c>
    </row>
    <row r="1808" spans="1:23" x14ac:dyDescent="0.15">
      <c r="A1808" s="2" t="s">
        <v>277</v>
      </c>
      <c r="B1808" s="4" t="s">
        <v>3948</v>
      </c>
      <c r="C1808" s="2" t="s">
        <v>1080</v>
      </c>
      <c r="D1808" s="2" t="s">
        <v>799</v>
      </c>
      <c r="E1808" s="1"/>
      <c r="F1808" s="4" t="s">
        <v>282</v>
      </c>
      <c r="G1808" s="4">
        <v>-4.5</v>
      </c>
      <c r="H1808" s="2" t="str">
        <f t="shared" si="60"/>
        <v>W</v>
      </c>
      <c r="I1808" s="5"/>
      <c r="J1808" s="5"/>
      <c r="K1808" s="5"/>
      <c r="L1808" s="5">
        <v>109.9</v>
      </c>
      <c r="M1808" s="4" t="s">
        <v>191</v>
      </c>
      <c r="N1808" s="33"/>
      <c r="O1808" s="33"/>
      <c r="P1808" s="33"/>
      <c r="Q1808" s="4"/>
      <c r="R1808" s="33"/>
      <c r="S1808" s="33"/>
      <c r="T1808" s="4"/>
      <c r="U1808" s="4"/>
      <c r="V1808" s="4"/>
      <c r="W1808" s="10" t="s">
        <v>2062</v>
      </c>
    </row>
    <row r="1809" spans="1:23" x14ac:dyDescent="0.15">
      <c r="A1809" s="2" t="s">
        <v>277</v>
      </c>
      <c r="B1809" s="4" t="s">
        <v>3948</v>
      </c>
      <c r="C1809" s="2" t="s">
        <v>1080</v>
      </c>
      <c r="D1809" s="2" t="s">
        <v>799</v>
      </c>
      <c r="E1809" s="1"/>
      <c r="F1809" s="4" t="s">
        <v>281</v>
      </c>
      <c r="G1809" s="4">
        <v>6.4</v>
      </c>
      <c r="H1809" s="2" t="str">
        <f t="shared" si="60"/>
        <v>W</v>
      </c>
      <c r="I1809" s="33"/>
      <c r="J1809" s="33"/>
      <c r="K1809" s="33"/>
      <c r="L1809" s="33">
        <v>90.6</v>
      </c>
      <c r="M1809" s="4" t="s">
        <v>191</v>
      </c>
      <c r="N1809" s="33"/>
      <c r="O1809" s="33"/>
      <c r="P1809" s="33"/>
      <c r="Q1809" s="4"/>
      <c r="R1809" s="33"/>
      <c r="S1809" s="33"/>
      <c r="T1809" s="4"/>
      <c r="U1809" s="4"/>
      <c r="V1809" s="4"/>
      <c r="W1809" s="10" t="s">
        <v>2061</v>
      </c>
    </row>
    <row r="1810" spans="1:23" x14ac:dyDescent="0.15">
      <c r="A1810" s="2" t="s">
        <v>277</v>
      </c>
      <c r="B1810" s="4" t="s">
        <v>3948</v>
      </c>
      <c r="C1810" s="2" t="s">
        <v>1080</v>
      </c>
      <c r="D1810" s="2" t="s">
        <v>799</v>
      </c>
      <c r="E1810" s="1"/>
      <c r="F1810" s="4" t="s">
        <v>285</v>
      </c>
      <c r="G1810" s="4">
        <v>1.5</v>
      </c>
      <c r="H1810" s="2" t="str">
        <f t="shared" si="60"/>
        <v>W</v>
      </c>
      <c r="I1810" s="33"/>
      <c r="J1810" s="33"/>
      <c r="K1810" s="33"/>
      <c r="L1810" s="33">
        <v>90.5</v>
      </c>
      <c r="M1810" s="4" t="s">
        <v>191</v>
      </c>
      <c r="N1810" s="33"/>
      <c r="O1810" s="33"/>
      <c r="P1810" s="33"/>
      <c r="Q1810" s="4"/>
      <c r="R1810" s="33"/>
      <c r="S1810" s="33"/>
      <c r="T1810" s="4"/>
      <c r="U1810" s="4"/>
      <c r="V1810" s="4"/>
      <c r="W1810" s="10" t="s">
        <v>2063</v>
      </c>
    </row>
    <row r="1811" spans="1:23" x14ac:dyDescent="0.15">
      <c r="A1811" s="2" t="s">
        <v>277</v>
      </c>
      <c r="B1811" s="4" t="s">
        <v>3948</v>
      </c>
      <c r="C1811" s="2" t="s">
        <v>1080</v>
      </c>
      <c r="D1811" s="2" t="s">
        <v>799</v>
      </c>
      <c r="E1811" s="1"/>
      <c r="F1811" s="4" t="s">
        <v>285</v>
      </c>
      <c r="G1811" s="4">
        <v>-1.5</v>
      </c>
      <c r="H1811" s="2" t="str">
        <f t="shared" si="60"/>
        <v>W</v>
      </c>
      <c r="I1811" s="33"/>
      <c r="J1811" s="33"/>
      <c r="K1811" s="33"/>
      <c r="L1811" s="33">
        <v>84</v>
      </c>
      <c r="M1811" s="4" t="s">
        <v>191</v>
      </c>
      <c r="N1811" s="33"/>
      <c r="O1811" s="33"/>
      <c r="P1811" s="33"/>
      <c r="Q1811" s="4"/>
      <c r="R1811" s="33"/>
      <c r="S1811" s="33"/>
      <c r="T1811" s="4"/>
      <c r="U1811" s="4"/>
      <c r="V1811" s="4"/>
      <c r="W1811" s="10" t="s">
        <v>2063</v>
      </c>
    </row>
    <row r="1812" spans="1:23" x14ac:dyDescent="0.15">
      <c r="A1812" s="2" t="s">
        <v>277</v>
      </c>
      <c r="B1812" s="4" t="s">
        <v>3948</v>
      </c>
      <c r="C1812" s="2" t="s">
        <v>1080</v>
      </c>
      <c r="D1812" s="2" t="s">
        <v>800</v>
      </c>
      <c r="E1812" s="1"/>
      <c r="F1812" s="2" t="s">
        <v>219</v>
      </c>
      <c r="G1812" s="2" t="s">
        <v>374</v>
      </c>
      <c r="H1812" s="2" t="str">
        <f t="shared" ref="H1812:H1843" si="61">IF(G1812="captive","C","W")</f>
        <v>C</v>
      </c>
      <c r="I1812" s="5"/>
      <c r="J1812" s="5"/>
      <c r="K1812" s="5"/>
      <c r="L1812" s="7">
        <v>16.5</v>
      </c>
      <c r="M1812" s="4" t="s">
        <v>191</v>
      </c>
      <c r="N1812" s="5">
        <v>42</v>
      </c>
      <c r="O1812" s="5">
        <v>31</v>
      </c>
      <c r="P1812" s="5">
        <v>23.1</v>
      </c>
      <c r="Q1812" s="2" t="s">
        <v>18</v>
      </c>
      <c r="R1812" s="5">
        <v>381.15</v>
      </c>
      <c r="S1812" s="5"/>
      <c r="W1812" s="6" t="s">
        <v>2718</v>
      </c>
    </row>
    <row r="1813" spans="1:23" x14ac:dyDescent="0.15">
      <c r="A1813" s="4" t="s">
        <v>277</v>
      </c>
      <c r="B1813" s="4" t="s">
        <v>3948</v>
      </c>
      <c r="C1813" s="4" t="s">
        <v>1080</v>
      </c>
      <c r="D1813" s="4" t="s">
        <v>800</v>
      </c>
      <c r="E1813" s="1"/>
      <c r="F1813" s="4" t="s">
        <v>219</v>
      </c>
      <c r="G1813" s="4">
        <v>9.2200000000000006</v>
      </c>
      <c r="H1813" s="2" t="str">
        <f t="shared" si="61"/>
        <v>W</v>
      </c>
      <c r="I1813" s="5">
        <v>40.1</v>
      </c>
      <c r="J1813" s="5">
        <v>5600</v>
      </c>
      <c r="K1813" s="5"/>
      <c r="L1813" s="5">
        <v>20.5</v>
      </c>
      <c r="M1813" s="4" t="s">
        <v>191</v>
      </c>
      <c r="N1813" s="33">
        <v>40.299999999999997</v>
      </c>
      <c r="O1813" s="33">
        <v>32</v>
      </c>
      <c r="P1813" s="33">
        <v>24</v>
      </c>
      <c r="Q1813" s="4" t="s">
        <v>18</v>
      </c>
      <c r="R1813" s="33">
        <v>492</v>
      </c>
      <c r="S1813" s="33">
        <v>8.7899999999999991</v>
      </c>
      <c r="T1813" s="4"/>
      <c r="U1813" s="4"/>
      <c r="V1813" s="4"/>
      <c r="W1813" s="10" t="s">
        <v>2065</v>
      </c>
    </row>
    <row r="1814" spans="1:23" x14ac:dyDescent="0.15">
      <c r="A1814" s="2" t="s">
        <v>277</v>
      </c>
      <c r="B1814" s="4" t="s">
        <v>3948</v>
      </c>
      <c r="C1814" s="2" t="s">
        <v>1080</v>
      </c>
      <c r="D1814" s="2" t="s">
        <v>800</v>
      </c>
      <c r="E1814" s="1"/>
      <c r="F1814" s="4" t="s">
        <v>219</v>
      </c>
      <c r="G1814" s="4">
        <v>8.5</v>
      </c>
      <c r="H1814" s="2" t="str">
        <f t="shared" si="61"/>
        <v>W</v>
      </c>
      <c r="I1814" s="5"/>
      <c r="J1814" s="5"/>
      <c r="K1814" s="5"/>
      <c r="L1814" s="5">
        <f>AVERAGE(17,30)</f>
        <v>23.5</v>
      </c>
      <c r="M1814" s="4" t="s">
        <v>191</v>
      </c>
      <c r="N1814" s="33">
        <f>AVERAGE(43.4,47.8)</f>
        <v>45.599999999999994</v>
      </c>
      <c r="O1814" s="33">
        <f>AVERAGE(35,34.4)</f>
        <v>34.700000000000003</v>
      </c>
      <c r="P1814" s="33">
        <v>30.96</v>
      </c>
      <c r="Q1814" s="4" t="s">
        <v>18</v>
      </c>
      <c r="R1814" s="33">
        <f>P1814*L1814</f>
        <v>727.56000000000006</v>
      </c>
      <c r="S1814" s="33"/>
      <c r="T1814" s="4"/>
      <c r="U1814" s="4"/>
      <c r="V1814" s="4"/>
      <c r="W1814" s="10" t="s">
        <v>2068</v>
      </c>
    </row>
    <row r="1815" spans="1:23" x14ac:dyDescent="0.15">
      <c r="A1815" s="4" t="s">
        <v>277</v>
      </c>
      <c r="B1815" s="4" t="s">
        <v>3948</v>
      </c>
      <c r="C1815" s="4" t="s">
        <v>1080</v>
      </c>
      <c r="D1815" s="4" t="s">
        <v>800</v>
      </c>
      <c r="E1815" s="1"/>
      <c r="F1815" s="4" t="s">
        <v>219</v>
      </c>
      <c r="G1815" s="4">
        <v>6.72</v>
      </c>
      <c r="H1815" s="2" t="str">
        <f t="shared" si="61"/>
        <v>W</v>
      </c>
      <c r="I1815" s="5">
        <v>38.299999999999997</v>
      </c>
      <c r="J1815" s="5">
        <f>0.207*I1815^2.783</f>
        <v>5272.4507709901727</v>
      </c>
      <c r="K1815" s="5">
        <v>5.5</v>
      </c>
      <c r="L1815" s="5">
        <v>22</v>
      </c>
      <c r="M1815" s="4" t="s">
        <v>191</v>
      </c>
      <c r="N1815" s="33"/>
      <c r="O1815" s="33"/>
      <c r="P1815" s="33"/>
      <c r="Q1815" s="4"/>
      <c r="R1815" s="33"/>
      <c r="S1815" s="33"/>
      <c r="T1815" s="4">
        <v>4</v>
      </c>
      <c r="U1815" s="2" t="str">
        <f>IF(T1815&lt;=1, "1",IF(AND(T1815&gt;1,T1815&lt;4), "2-3", "+4"))</f>
        <v>+4</v>
      </c>
      <c r="V1815" s="4"/>
      <c r="W1815" s="10" t="s">
        <v>2066</v>
      </c>
    </row>
    <row r="1816" spans="1:23" x14ac:dyDescent="0.15">
      <c r="A1816" s="2" t="s">
        <v>277</v>
      </c>
      <c r="B1816" s="4" t="s">
        <v>3948</v>
      </c>
      <c r="C1816" s="2" t="s">
        <v>1080</v>
      </c>
      <c r="D1816" s="2" t="s">
        <v>800</v>
      </c>
      <c r="E1816" s="1"/>
      <c r="F1816" s="4" t="s">
        <v>289</v>
      </c>
      <c r="G1816" s="4">
        <v>9.16</v>
      </c>
      <c r="H1816" s="2" t="str">
        <f t="shared" si="61"/>
        <v>W</v>
      </c>
      <c r="I1816" s="5"/>
      <c r="J1816" s="5"/>
      <c r="K1816" s="5"/>
      <c r="L1816" s="5">
        <v>21.9</v>
      </c>
      <c r="M1816" s="4" t="s">
        <v>191</v>
      </c>
      <c r="N1816" s="33"/>
      <c r="O1816" s="33"/>
      <c r="P1816" s="33"/>
      <c r="Q1816" s="4"/>
      <c r="R1816" s="33"/>
      <c r="S1816" s="33"/>
      <c r="T1816" s="4"/>
      <c r="U1816" s="4"/>
      <c r="V1816" s="4"/>
      <c r="W1816" s="10" t="s">
        <v>2067</v>
      </c>
    </row>
    <row r="1817" spans="1:23" x14ac:dyDescent="0.15">
      <c r="A1817" s="2" t="s">
        <v>277</v>
      </c>
      <c r="B1817" s="4" t="s">
        <v>3948</v>
      </c>
      <c r="C1817" s="2" t="s">
        <v>1080</v>
      </c>
      <c r="D1817" s="2" t="s">
        <v>800</v>
      </c>
      <c r="E1817" s="1"/>
      <c r="F1817" s="4" t="s">
        <v>290</v>
      </c>
      <c r="G1817" s="4">
        <v>6.48</v>
      </c>
      <c r="H1817" s="2" t="str">
        <f t="shared" si="61"/>
        <v>W</v>
      </c>
      <c r="I1817" s="5"/>
      <c r="J1817" s="5"/>
      <c r="K1817" s="5"/>
      <c r="L1817" s="5">
        <v>21.4</v>
      </c>
      <c r="M1817" s="4" t="s">
        <v>191</v>
      </c>
      <c r="N1817" s="33"/>
      <c r="O1817" s="33"/>
      <c r="P1817" s="33"/>
      <c r="Q1817" s="4"/>
      <c r="R1817" s="33"/>
      <c r="S1817" s="33"/>
      <c r="T1817" s="4"/>
      <c r="U1817" s="4"/>
      <c r="V1817" s="4"/>
      <c r="W1817" s="10" t="s">
        <v>2067</v>
      </c>
    </row>
    <row r="1818" spans="1:23" x14ac:dyDescent="0.15">
      <c r="A1818" s="2" t="s">
        <v>277</v>
      </c>
      <c r="B1818" s="4" t="s">
        <v>3948</v>
      </c>
      <c r="C1818" s="2" t="s">
        <v>1080</v>
      </c>
      <c r="D1818" s="2" t="s">
        <v>800</v>
      </c>
      <c r="E1818" s="1"/>
      <c r="F1818" s="4" t="s">
        <v>288</v>
      </c>
      <c r="G1818" s="4">
        <v>9.23</v>
      </c>
      <c r="H1818" s="2" t="str">
        <f t="shared" si="61"/>
        <v>W</v>
      </c>
      <c r="I1818" s="5"/>
      <c r="J1818" s="5"/>
      <c r="K1818" s="5"/>
      <c r="L1818" s="5">
        <v>19.2</v>
      </c>
      <c r="M1818" s="4" t="s">
        <v>191</v>
      </c>
      <c r="N1818" s="33"/>
      <c r="O1818" s="33"/>
      <c r="P1818" s="33"/>
      <c r="Q1818" s="4"/>
      <c r="R1818" s="33"/>
      <c r="S1818" s="33"/>
      <c r="T1818" s="4"/>
      <c r="U1818" s="4"/>
      <c r="V1818" s="4"/>
      <c r="W1818" s="10" t="s">
        <v>2067</v>
      </c>
    </row>
    <row r="1819" spans="1:23" x14ac:dyDescent="0.15">
      <c r="A1819" s="2" t="s">
        <v>277</v>
      </c>
      <c r="B1819" s="4" t="s">
        <v>3948</v>
      </c>
      <c r="C1819" s="2" t="s">
        <v>1080</v>
      </c>
      <c r="D1819" s="2" t="s">
        <v>800</v>
      </c>
      <c r="E1819" s="1"/>
      <c r="F1819" s="2" t="s">
        <v>219</v>
      </c>
      <c r="H1819" s="2" t="s">
        <v>3887</v>
      </c>
      <c r="I1819" s="5"/>
      <c r="J1819" s="5"/>
      <c r="K1819" s="5"/>
      <c r="L1819" s="5">
        <v>25</v>
      </c>
      <c r="M1819" s="4" t="s">
        <v>191</v>
      </c>
      <c r="N1819" s="5">
        <v>42</v>
      </c>
      <c r="O1819" s="5">
        <v>38</v>
      </c>
      <c r="P1819" s="5">
        <f xml:space="preserve"> 1.193*N1819 + 0.522*O1819 - 34.399</f>
        <v>35.543000000000006</v>
      </c>
      <c r="Q1819" s="2" t="s">
        <v>376</v>
      </c>
      <c r="R1819" s="5">
        <f>P1819*L1819</f>
        <v>888.57500000000016</v>
      </c>
      <c r="S1819" s="5"/>
      <c r="W1819" s="6" t="s">
        <v>2165</v>
      </c>
    </row>
    <row r="1820" spans="1:23" x14ac:dyDescent="0.15">
      <c r="A1820" s="2" t="s">
        <v>277</v>
      </c>
      <c r="B1820" s="4" t="s">
        <v>3948</v>
      </c>
      <c r="C1820" s="2" t="s">
        <v>1080</v>
      </c>
      <c r="D1820" s="2" t="s">
        <v>801</v>
      </c>
      <c r="E1820" s="1"/>
      <c r="F1820" s="2" t="s">
        <v>292</v>
      </c>
      <c r="G1820" s="2">
        <v>-3.06</v>
      </c>
      <c r="H1820" s="2" t="str">
        <f t="shared" si="61"/>
        <v>W</v>
      </c>
      <c r="I1820" s="5"/>
      <c r="J1820" s="5"/>
      <c r="K1820" s="5"/>
      <c r="L1820" s="5">
        <f>(SUM(12,12,12,12,12,8,12,12,12,10,10,10))/12</f>
        <v>11.166666666666666</v>
      </c>
      <c r="M1820" s="2" t="s">
        <v>47</v>
      </c>
      <c r="N1820" s="5"/>
      <c r="O1820" s="5"/>
      <c r="P1820" s="5"/>
      <c r="R1820" s="5"/>
      <c r="S1820" s="5"/>
      <c r="W1820" s="6" t="s">
        <v>2070</v>
      </c>
    </row>
    <row r="1821" spans="1:23" x14ac:dyDescent="0.15">
      <c r="A1821" s="2" t="s">
        <v>277</v>
      </c>
      <c r="B1821" s="4" t="s">
        <v>3948</v>
      </c>
      <c r="C1821" s="2" t="s">
        <v>1080</v>
      </c>
      <c r="D1821" s="2" t="s">
        <v>801</v>
      </c>
      <c r="E1821" s="1"/>
      <c r="F1821" s="2" t="s">
        <v>291</v>
      </c>
      <c r="G1821" s="2">
        <v>-1.2</v>
      </c>
      <c r="H1821" s="2" t="str">
        <f t="shared" si="61"/>
        <v>W</v>
      </c>
      <c r="I1821" s="5"/>
      <c r="J1821" s="5"/>
      <c r="K1821" s="5"/>
      <c r="L1821" s="5">
        <f>302/23</f>
        <v>13.130434782608695</v>
      </c>
      <c r="M1821" s="2" t="s">
        <v>47</v>
      </c>
      <c r="N1821" s="5"/>
      <c r="O1821" s="5"/>
      <c r="P1821" s="5"/>
      <c r="R1821" s="5"/>
      <c r="S1821" s="5"/>
      <c r="W1821" s="6" t="s">
        <v>2069</v>
      </c>
    </row>
    <row r="1822" spans="1:23" x14ac:dyDescent="0.15">
      <c r="A1822" s="2" t="s">
        <v>277</v>
      </c>
      <c r="B1822" s="4" t="s">
        <v>3948</v>
      </c>
      <c r="C1822" s="2" t="s">
        <v>1080</v>
      </c>
      <c r="D1822" s="2" t="s">
        <v>801</v>
      </c>
      <c r="E1822" s="1"/>
      <c r="F1822" s="2" t="s">
        <v>26</v>
      </c>
      <c r="G1822" s="2">
        <v>-1.77</v>
      </c>
      <c r="H1822" s="2" t="str">
        <f t="shared" si="61"/>
        <v>W</v>
      </c>
      <c r="I1822" s="5">
        <v>28.8</v>
      </c>
      <c r="J1822" s="5">
        <v>2300</v>
      </c>
      <c r="K1822" s="5"/>
      <c r="L1822" s="5">
        <v>15.1</v>
      </c>
      <c r="M1822" s="2" t="s">
        <v>47</v>
      </c>
      <c r="N1822" s="5">
        <v>43</v>
      </c>
      <c r="O1822" s="5">
        <v>28</v>
      </c>
      <c r="P1822" s="5">
        <v>19.3</v>
      </c>
      <c r="Q1822" s="2" t="s">
        <v>18</v>
      </c>
      <c r="R1822" s="5">
        <v>292.2</v>
      </c>
      <c r="S1822" s="5">
        <v>12.7</v>
      </c>
      <c r="W1822" s="6" t="s">
        <v>1858</v>
      </c>
    </row>
    <row r="1823" spans="1:23" x14ac:dyDescent="0.15">
      <c r="A1823" s="2" t="s">
        <v>277</v>
      </c>
      <c r="B1823" s="4" t="s">
        <v>3948</v>
      </c>
      <c r="C1823" s="2" t="s">
        <v>1080</v>
      </c>
      <c r="D1823" s="2" t="s">
        <v>801</v>
      </c>
      <c r="E1823" s="1"/>
      <c r="F1823" s="2" t="s">
        <v>2274</v>
      </c>
      <c r="H1823" s="2" t="s">
        <v>3887</v>
      </c>
      <c r="I1823" s="5"/>
      <c r="J1823" s="5"/>
      <c r="K1823" s="7">
        <f>MEDIAN(5,6)</f>
        <v>5.5</v>
      </c>
      <c r="L1823" s="5"/>
      <c r="M1823" s="2" t="s">
        <v>47</v>
      </c>
      <c r="N1823" s="5"/>
      <c r="O1823" s="5"/>
      <c r="P1823" s="5"/>
      <c r="R1823" s="5"/>
      <c r="S1823" s="5"/>
      <c r="W1823" s="6" t="s">
        <v>2066</v>
      </c>
    </row>
    <row r="1824" spans="1:23" x14ac:dyDescent="0.15">
      <c r="A1824" s="2" t="s">
        <v>277</v>
      </c>
      <c r="B1824" s="4" t="s">
        <v>3948</v>
      </c>
      <c r="C1824" s="2" t="s">
        <v>1080</v>
      </c>
      <c r="D1824" s="2" t="s">
        <v>801</v>
      </c>
      <c r="E1824" s="1"/>
      <c r="F1824" s="2" t="s">
        <v>26</v>
      </c>
      <c r="G1824" s="2">
        <v>-2.88</v>
      </c>
      <c r="H1824" s="2" t="s">
        <v>3887</v>
      </c>
      <c r="I1824" s="5"/>
      <c r="J1824" s="5"/>
      <c r="K1824" s="5"/>
      <c r="L1824" s="5">
        <v>15.8</v>
      </c>
      <c r="M1824" s="2" t="s">
        <v>47</v>
      </c>
      <c r="N1824" s="5">
        <v>41.4</v>
      </c>
      <c r="O1824" s="5">
        <v>28.9</v>
      </c>
      <c r="P1824" s="5">
        <v>19.600000000000001</v>
      </c>
      <c r="Q1824" s="2" t="s">
        <v>18</v>
      </c>
      <c r="R1824" s="5">
        <v>308</v>
      </c>
      <c r="S1824" s="5"/>
      <c r="W1824" s="6" t="s">
        <v>3441</v>
      </c>
    </row>
    <row r="1825" spans="1:23" x14ac:dyDescent="0.15">
      <c r="A1825" s="2" t="s">
        <v>277</v>
      </c>
      <c r="B1825" s="4" t="s">
        <v>3948</v>
      </c>
      <c r="C1825" s="2" t="s">
        <v>1080</v>
      </c>
      <c r="D1825" s="2" t="s">
        <v>801</v>
      </c>
      <c r="E1825" s="1"/>
      <c r="F1825" s="2" t="s">
        <v>848</v>
      </c>
      <c r="H1825" s="2" t="s">
        <v>3887</v>
      </c>
      <c r="I1825" s="5"/>
      <c r="J1825" s="5"/>
      <c r="K1825" s="5"/>
      <c r="L1825" s="5">
        <v>16</v>
      </c>
      <c r="M1825" s="2" t="s">
        <v>47</v>
      </c>
      <c r="N1825" s="5">
        <v>41</v>
      </c>
      <c r="O1825" s="5">
        <v>27</v>
      </c>
      <c r="P1825" s="5">
        <v>19.600000000000001</v>
      </c>
      <c r="Q1825" s="2" t="s">
        <v>18</v>
      </c>
      <c r="R1825" s="5">
        <v>313.60000000000002</v>
      </c>
      <c r="S1825" s="5"/>
      <c r="W1825" s="6" t="s">
        <v>2165</v>
      </c>
    </row>
    <row r="1826" spans="1:23" x14ac:dyDescent="0.15">
      <c r="A1826" s="2" t="s">
        <v>277</v>
      </c>
      <c r="B1826" s="4" t="s">
        <v>3948</v>
      </c>
      <c r="C1826" s="2" t="s">
        <v>1080</v>
      </c>
      <c r="D1826" s="2" t="s">
        <v>801</v>
      </c>
      <c r="E1826" s="1"/>
      <c r="F1826" s="2" t="s">
        <v>602</v>
      </c>
      <c r="G1826" s="2">
        <v>-5.24</v>
      </c>
      <c r="H1826" s="2" t="str">
        <f t="shared" si="61"/>
        <v>W</v>
      </c>
      <c r="I1826" s="5">
        <v>29.3</v>
      </c>
      <c r="J1826" s="5">
        <v>2400</v>
      </c>
      <c r="K1826" s="5"/>
      <c r="L1826" s="7">
        <v>13.5</v>
      </c>
      <c r="M1826" s="2" t="s">
        <v>47</v>
      </c>
      <c r="N1826" s="5">
        <v>44.7</v>
      </c>
      <c r="O1826" s="5">
        <v>27.1</v>
      </c>
      <c r="P1826" s="5">
        <v>19</v>
      </c>
      <c r="Q1826" s="2" t="s">
        <v>18</v>
      </c>
      <c r="R1826" s="5">
        <v>256.5</v>
      </c>
      <c r="S1826" s="5">
        <v>10.69</v>
      </c>
      <c r="W1826" s="6" t="s">
        <v>3309</v>
      </c>
    </row>
    <row r="1827" spans="1:23" x14ac:dyDescent="0.15">
      <c r="A1827" s="2" t="s">
        <v>277</v>
      </c>
      <c r="B1827" s="4" t="s">
        <v>3948</v>
      </c>
      <c r="C1827" s="2" t="s">
        <v>1080</v>
      </c>
      <c r="D1827" s="2" t="s">
        <v>801</v>
      </c>
      <c r="E1827" s="1"/>
      <c r="F1827" s="2" t="s">
        <v>602</v>
      </c>
      <c r="G1827" s="2">
        <v>-5.24</v>
      </c>
      <c r="H1827" s="2" t="str">
        <f t="shared" si="61"/>
        <v>W</v>
      </c>
      <c r="I1827" s="5">
        <v>27.6</v>
      </c>
      <c r="J1827" s="5">
        <v>2217</v>
      </c>
      <c r="K1827" s="5"/>
      <c r="L1827" s="7">
        <v>13.4</v>
      </c>
      <c r="M1827" s="2" t="s">
        <v>47</v>
      </c>
      <c r="N1827" s="5">
        <v>43.8</v>
      </c>
      <c r="O1827" s="5">
        <v>26.6</v>
      </c>
      <c r="P1827" s="5">
        <v>18.2</v>
      </c>
      <c r="Q1827" s="2" t="s">
        <v>18</v>
      </c>
      <c r="R1827" s="5">
        <v>243.9</v>
      </c>
      <c r="S1827" s="5">
        <v>11</v>
      </c>
      <c r="W1827" s="6" t="s">
        <v>2746</v>
      </c>
    </row>
    <row r="1828" spans="1:23" x14ac:dyDescent="0.15">
      <c r="A1828" s="2" t="s">
        <v>277</v>
      </c>
      <c r="B1828" s="4" t="s">
        <v>3948</v>
      </c>
      <c r="C1828" s="2" t="s">
        <v>1080</v>
      </c>
      <c r="D1828" s="2" t="s">
        <v>801</v>
      </c>
      <c r="E1828" s="1"/>
      <c r="F1828" s="2" t="s">
        <v>602</v>
      </c>
      <c r="G1828" s="2">
        <v>-5.24</v>
      </c>
      <c r="H1828" s="2" t="str">
        <f t="shared" si="61"/>
        <v>W</v>
      </c>
      <c r="I1828" s="5">
        <v>27.04</v>
      </c>
      <c r="J1828" s="5">
        <v>2200</v>
      </c>
      <c r="K1828" s="5"/>
      <c r="L1828" s="5">
        <v>13.4</v>
      </c>
      <c r="M1828" s="2" t="s">
        <v>47</v>
      </c>
      <c r="N1828" s="5">
        <v>43.8</v>
      </c>
      <c r="O1828" s="5">
        <v>26.6</v>
      </c>
      <c r="P1828" s="5">
        <v>18.2</v>
      </c>
      <c r="Q1828" s="2" t="s">
        <v>18</v>
      </c>
      <c r="R1828" s="5">
        <v>243.88</v>
      </c>
      <c r="S1828" s="5">
        <v>11.09</v>
      </c>
      <c r="W1828" s="6" t="s">
        <v>2746</v>
      </c>
    </row>
    <row r="1829" spans="1:23" x14ac:dyDescent="0.15">
      <c r="A1829" s="2" t="s">
        <v>277</v>
      </c>
      <c r="B1829" s="4" t="s">
        <v>3948</v>
      </c>
      <c r="C1829" s="2" t="s">
        <v>1080</v>
      </c>
      <c r="D1829" s="2" t="s">
        <v>801</v>
      </c>
      <c r="E1829" s="1"/>
      <c r="F1829" s="2" t="s">
        <v>26</v>
      </c>
      <c r="G1829" s="2">
        <v>-1.38</v>
      </c>
      <c r="H1829" s="2" t="str">
        <f t="shared" si="61"/>
        <v>W</v>
      </c>
      <c r="I1829" s="5">
        <v>23.25</v>
      </c>
      <c r="J1829" s="5">
        <v>1917.7</v>
      </c>
      <c r="K1829" s="5"/>
      <c r="L1829" s="7">
        <v>11</v>
      </c>
      <c r="M1829" s="2" t="s">
        <v>47</v>
      </c>
      <c r="N1829" s="5"/>
      <c r="O1829" s="5"/>
      <c r="P1829" s="5"/>
      <c r="R1829" s="5"/>
      <c r="S1829" s="5"/>
      <c r="T1829" s="2">
        <v>1</v>
      </c>
      <c r="U1829" s="2" t="str">
        <f>IF(T1829&lt;=1, "1",IF(AND(T1829&gt;1,T1829&lt;4), "2-3", "+4"))</f>
        <v>1</v>
      </c>
      <c r="W1829" s="6" t="s">
        <v>2744</v>
      </c>
    </row>
    <row r="1830" spans="1:23" x14ac:dyDescent="0.15">
      <c r="A1830" s="2" t="s">
        <v>277</v>
      </c>
      <c r="B1830" s="4" t="s">
        <v>3948</v>
      </c>
      <c r="C1830" s="2" t="s">
        <v>1080</v>
      </c>
      <c r="D1830" s="2" t="s">
        <v>525</v>
      </c>
      <c r="E1830" s="1"/>
      <c r="F1830" s="2" t="s">
        <v>26</v>
      </c>
      <c r="G1830" s="2">
        <v>1</v>
      </c>
      <c r="H1830" s="2" t="str">
        <f t="shared" si="61"/>
        <v>W</v>
      </c>
      <c r="I1830" s="5"/>
      <c r="J1830" s="5"/>
      <c r="K1830" s="5"/>
      <c r="L1830" s="5">
        <v>14</v>
      </c>
      <c r="M1830" s="2" t="s">
        <v>47</v>
      </c>
      <c r="N1830" s="5">
        <v>47.7</v>
      </c>
      <c r="O1830" s="5">
        <v>30.4</v>
      </c>
      <c r="P1830" s="5">
        <v>26.8</v>
      </c>
      <c r="Q1830" s="2" t="s">
        <v>18</v>
      </c>
      <c r="R1830" s="5">
        <f>P1830*L1830</f>
        <v>375.2</v>
      </c>
      <c r="S1830" s="5"/>
      <c r="W1830" s="6" t="s">
        <v>2075</v>
      </c>
    </row>
    <row r="1831" spans="1:23" x14ac:dyDescent="0.15">
      <c r="A1831" s="2" t="s">
        <v>277</v>
      </c>
      <c r="B1831" s="4" t="s">
        <v>3948</v>
      </c>
      <c r="C1831" s="2" t="s">
        <v>1080</v>
      </c>
      <c r="D1831" s="2" t="s">
        <v>525</v>
      </c>
      <c r="E1831" s="1"/>
      <c r="F1831" s="2" t="s">
        <v>294</v>
      </c>
      <c r="G1831" s="2">
        <v>0</v>
      </c>
      <c r="H1831" s="2" t="s">
        <v>3887</v>
      </c>
      <c r="I1831" s="5"/>
      <c r="J1831" s="5"/>
      <c r="K1831" s="5"/>
      <c r="L1831" s="5">
        <v>15.88</v>
      </c>
      <c r="M1831" s="2" t="s">
        <v>47</v>
      </c>
      <c r="N1831" s="5">
        <v>48.06</v>
      </c>
      <c r="O1831" s="5">
        <v>30.64</v>
      </c>
      <c r="P1831" s="5">
        <v>27.76</v>
      </c>
      <c r="Q1831" s="2" t="s">
        <v>18</v>
      </c>
      <c r="R1831" s="5">
        <f>P1831*L1831</f>
        <v>440.82880000000006</v>
      </c>
      <c r="S1831" s="5"/>
      <c r="W1831" s="6" t="s">
        <v>2074</v>
      </c>
    </row>
    <row r="1832" spans="1:23" x14ac:dyDescent="0.15">
      <c r="A1832" s="2" t="s">
        <v>277</v>
      </c>
      <c r="B1832" s="4" t="s">
        <v>3948</v>
      </c>
      <c r="C1832" s="2" t="s">
        <v>1080</v>
      </c>
      <c r="D1832" s="2" t="s">
        <v>525</v>
      </c>
      <c r="E1832" s="1"/>
      <c r="F1832" s="2" t="s">
        <v>293</v>
      </c>
      <c r="G1832" s="2">
        <v>0</v>
      </c>
      <c r="H1832" s="2" t="str">
        <f t="shared" si="61"/>
        <v>W</v>
      </c>
      <c r="I1832" s="5"/>
      <c r="J1832" s="5"/>
      <c r="K1832" s="5"/>
      <c r="L1832" s="5">
        <v>12.07</v>
      </c>
      <c r="M1832" s="2" t="s">
        <v>47</v>
      </c>
      <c r="N1832" s="5">
        <v>47.46</v>
      </c>
      <c r="O1832" s="5">
        <v>30.26</v>
      </c>
      <c r="P1832" s="5">
        <v>26.19</v>
      </c>
      <c r="Q1832" s="2" t="s">
        <v>18</v>
      </c>
      <c r="R1832" s="5">
        <f>P1832*L1832</f>
        <v>316.11330000000004</v>
      </c>
      <c r="S1832" s="5"/>
      <c r="W1832" s="6" t="s">
        <v>2074</v>
      </c>
    </row>
    <row r="1833" spans="1:23" x14ac:dyDescent="0.15">
      <c r="A1833" s="2" t="s">
        <v>277</v>
      </c>
      <c r="B1833" s="4" t="s">
        <v>3948</v>
      </c>
      <c r="C1833" s="2" t="s">
        <v>1080</v>
      </c>
      <c r="D1833" s="2" t="s">
        <v>525</v>
      </c>
      <c r="E1833" s="1"/>
      <c r="F1833" s="2" t="s">
        <v>374</v>
      </c>
      <c r="G1833" s="2" t="s">
        <v>374</v>
      </c>
      <c r="H1833" s="2" t="str">
        <f t="shared" si="61"/>
        <v>C</v>
      </c>
      <c r="I1833" s="5">
        <v>36.1</v>
      </c>
      <c r="J1833" s="5">
        <v>5750</v>
      </c>
      <c r="K1833" s="5"/>
      <c r="L1833" s="5">
        <v>26.5</v>
      </c>
      <c r="M1833" s="2" t="s">
        <v>47</v>
      </c>
      <c r="N1833" s="5"/>
      <c r="O1833" s="5"/>
      <c r="P1833" s="5"/>
      <c r="R1833" s="5"/>
      <c r="S1833" s="5"/>
      <c r="W1833" s="6" t="s">
        <v>2533</v>
      </c>
    </row>
    <row r="1834" spans="1:23" x14ac:dyDescent="0.15">
      <c r="A1834" s="2" t="s">
        <v>277</v>
      </c>
      <c r="B1834" s="4" t="s">
        <v>3948</v>
      </c>
      <c r="C1834" s="2" t="s">
        <v>1080</v>
      </c>
      <c r="D1834" s="2" t="s">
        <v>525</v>
      </c>
      <c r="E1834" s="1"/>
      <c r="F1834" s="2" t="s">
        <v>1920</v>
      </c>
      <c r="G1834" s="2">
        <v>-13.46</v>
      </c>
      <c r="H1834" s="2" t="str">
        <f t="shared" si="61"/>
        <v>W</v>
      </c>
      <c r="I1834" s="5"/>
      <c r="J1834" s="5"/>
      <c r="K1834" s="5"/>
      <c r="L1834" s="7">
        <v>26.9</v>
      </c>
      <c r="M1834" s="2" t="s">
        <v>47</v>
      </c>
      <c r="N1834" s="5">
        <v>43.9</v>
      </c>
      <c r="O1834" s="5">
        <v>31</v>
      </c>
      <c r="P1834" s="5">
        <v>24.5</v>
      </c>
      <c r="Q1834" s="2" t="s">
        <v>18</v>
      </c>
      <c r="R1834" s="5">
        <v>659.05</v>
      </c>
      <c r="S1834" s="5"/>
      <c r="W1834" s="6" t="s">
        <v>2739</v>
      </c>
    </row>
    <row r="1835" spans="1:23" x14ac:dyDescent="0.15">
      <c r="A1835" s="2" t="s">
        <v>277</v>
      </c>
      <c r="B1835" s="4" t="s">
        <v>3948</v>
      </c>
      <c r="C1835" s="2" t="s">
        <v>1080</v>
      </c>
      <c r="D1835" s="2" t="s">
        <v>525</v>
      </c>
      <c r="E1835" s="1"/>
      <c r="F1835" s="2" t="s">
        <v>26</v>
      </c>
      <c r="G1835" s="2">
        <v>-12.43</v>
      </c>
      <c r="H1835" s="2" t="str">
        <f t="shared" si="61"/>
        <v>W</v>
      </c>
      <c r="I1835" s="5"/>
      <c r="J1835" s="5"/>
      <c r="K1835" s="5"/>
      <c r="L1835" s="5">
        <v>23.7</v>
      </c>
      <c r="M1835" s="2" t="s">
        <v>47</v>
      </c>
      <c r="N1835" s="5"/>
      <c r="O1835" s="5"/>
      <c r="P1835" s="5"/>
      <c r="R1835" s="5"/>
      <c r="S1835" s="5"/>
      <c r="W1835" s="6" t="s">
        <v>3243</v>
      </c>
    </row>
    <row r="1836" spans="1:23" x14ac:dyDescent="0.15">
      <c r="A1836" s="2" t="s">
        <v>277</v>
      </c>
      <c r="B1836" s="4" t="s">
        <v>3948</v>
      </c>
      <c r="C1836" s="2" t="s">
        <v>1080</v>
      </c>
      <c r="D1836" s="2" t="s">
        <v>525</v>
      </c>
      <c r="E1836" s="1"/>
      <c r="F1836" s="2" t="s">
        <v>296</v>
      </c>
      <c r="G1836" s="2">
        <v>5.5</v>
      </c>
      <c r="H1836" s="2" t="str">
        <f t="shared" si="61"/>
        <v>W</v>
      </c>
      <c r="I1836" s="5"/>
      <c r="J1836" s="5"/>
      <c r="K1836" s="5"/>
      <c r="L1836" s="5">
        <v>20.100000000000001</v>
      </c>
      <c r="M1836" s="2" t="s">
        <v>47</v>
      </c>
      <c r="N1836" s="5"/>
      <c r="O1836" s="5"/>
      <c r="P1836" s="5"/>
      <c r="R1836" s="5"/>
      <c r="S1836" s="5"/>
      <c r="W1836" s="6" t="s">
        <v>2077</v>
      </c>
    </row>
    <row r="1837" spans="1:23" x14ac:dyDescent="0.15">
      <c r="A1837" s="2" t="s">
        <v>277</v>
      </c>
      <c r="B1837" s="4" t="s">
        <v>3948</v>
      </c>
      <c r="C1837" s="2" t="s">
        <v>1080</v>
      </c>
      <c r="D1837" s="2" t="s">
        <v>525</v>
      </c>
      <c r="E1837" s="1"/>
      <c r="F1837" s="2" t="s">
        <v>3914</v>
      </c>
      <c r="G1837" s="2">
        <v>6</v>
      </c>
      <c r="H1837" s="2" t="str">
        <f t="shared" si="61"/>
        <v>W</v>
      </c>
      <c r="I1837" s="5">
        <v>37.4</v>
      </c>
      <c r="J1837" s="5">
        <f xml:space="preserve"> 0.0002414*(I1837*10)^2.882</f>
        <v>6277.0158213886707</v>
      </c>
      <c r="K1837" s="5"/>
      <c r="L1837" s="5">
        <v>22.1</v>
      </c>
      <c r="M1837" s="2" t="s">
        <v>47</v>
      </c>
      <c r="N1837" s="5">
        <v>47</v>
      </c>
      <c r="O1837" s="5">
        <v>32</v>
      </c>
      <c r="P1837" s="5">
        <v>27.9</v>
      </c>
      <c r="Q1837" s="2" t="s">
        <v>18</v>
      </c>
      <c r="R1837" s="5">
        <f>P1837*L1837</f>
        <v>616.59</v>
      </c>
      <c r="S1837" s="5">
        <f>(R1837/J1837)*100</f>
        <v>9.8229798608917829</v>
      </c>
      <c r="W1837" s="6" t="s">
        <v>2073</v>
      </c>
    </row>
    <row r="1838" spans="1:23" x14ac:dyDescent="0.15">
      <c r="A1838" s="2" t="s">
        <v>277</v>
      </c>
      <c r="B1838" s="4" t="s">
        <v>3948</v>
      </c>
      <c r="C1838" s="2" t="s">
        <v>1080</v>
      </c>
      <c r="D1838" s="2" t="s">
        <v>525</v>
      </c>
      <c r="E1838" s="1"/>
      <c r="F1838" s="2" t="s">
        <v>526</v>
      </c>
      <c r="G1838" s="2">
        <v>-5.34</v>
      </c>
      <c r="H1838" s="2" t="str">
        <f t="shared" si="61"/>
        <v>W</v>
      </c>
      <c r="I1838" s="5"/>
      <c r="J1838" s="5"/>
      <c r="K1838" s="5"/>
      <c r="L1838" s="5">
        <v>31.3</v>
      </c>
      <c r="M1838" s="2" t="s">
        <v>47</v>
      </c>
      <c r="N1838" s="5">
        <v>42.7</v>
      </c>
      <c r="O1838" s="5">
        <v>30.2</v>
      </c>
      <c r="P1838" s="5">
        <v>22.3</v>
      </c>
      <c r="Q1838" s="2" t="s">
        <v>18</v>
      </c>
      <c r="R1838" s="5">
        <v>697.99</v>
      </c>
      <c r="S1838" s="5"/>
      <c r="W1838" s="6" t="s">
        <v>2743</v>
      </c>
    </row>
    <row r="1839" spans="1:23" x14ac:dyDescent="0.15">
      <c r="A1839" s="2" t="s">
        <v>277</v>
      </c>
      <c r="B1839" s="4" t="s">
        <v>3948</v>
      </c>
      <c r="C1839" s="2" t="s">
        <v>1080</v>
      </c>
      <c r="D1839" s="2" t="s">
        <v>525</v>
      </c>
      <c r="E1839" s="1"/>
      <c r="F1839" s="4" t="s">
        <v>286</v>
      </c>
      <c r="G1839" s="4">
        <v>-9.9</v>
      </c>
      <c r="H1839" s="2" t="str">
        <f t="shared" si="61"/>
        <v>W</v>
      </c>
      <c r="I1839" s="5"/>
      <c r="J1839" s="5"/>
      <c r="K1839" s="5"/>
      <c r="L1839" s="5">
        <v>13.6</v>
      </c>
      <c r="M1839" s="2" t="s">
        <v>47</v>
      </c>
      <c r="N1839" s="5"/>
      <c r="O1839" s="5"/>
      <c r="P1839" s="5"/>
      <c r="R1839" s="5"/>
      <c r="S1839" s="5"/>
      <c r="W1839" s="10" t="s">
        <v>2072</v>
      </c>
    </row>
    <row r="1840" spans="1:23" x14ac:dyDescent="0.15">
      <c r="A1840" s="2" t="s">
        <v>277</v>
      </c>
      <c r="B1840" s="4" t="s">
        <v>3948</v>
      </c>
      <c r="C1840" s="2" t="s">
        <v>1080</v>
      </c>
      <c r="D1840" s="2" t="s">
        <v>525</v>
      </c>
      <c r="E1840" s="1"/>
      <c r="F1840" s="4" t="s">
        <v>287</v>
      </c>
      <c r="G1840" s="4">
        <v>-9.9</v>
      </c>
      <c r="H1840" s="2" t="str">
        <f t="shared" si="61"/>
        <v>W</v>
      </c>
      <c r="I1840" s="5"/>
      <c r="J1840" s="5"/>
      <c r="K1840" s="5"/>
      <c r="L1840" s="5">
        <v>12.7</v>
      </c>
      <c r="M1840" s="2" t="s">
        <v>47</v>
      </c>
      <c r="N1840" s="5"/>
      <c r="O1840" s="5"/>
      <c r="P1840" s="5"/>
      <c r="R1840" s="5"/>
      <c r="S1840" s="5"/>
      <c r="W1840" s="10" t="s">
        <v>2072</v>
      </c>
    </row>
    <row r="1841" spans="1:23" x14ac:dyDescent="0.15">
      <c r="A1841" s="2" t="s">
        <v>277</v>
      </c>
      <c r="B1841" s="4" t="s">
        <v>3948</v>
      </c>
      <c r="C1841" s="2" t="s">
        <v>1080</v>
      </c>
      <c r="D1841" s="2" t="s">
        <v>525</v>
      </c>
      <c r="E1841" s="1"/>
      <c r="F1841" s="2" t="s">
        <v>219</v>
      </c>
      <c r="G1841" s="2">
        <v>-2.89</v>
      </c>
      <c r="H1841" s="2" t="str">
        <f t="shared" si="61"/>
        <v>W</v>
      </c>
      <c r="I1841" s="5">
        <v>36.020000000000003</v>
      </c>
      <c r="J1841" s="5">
        <v>6380</v>
      </c>
      <c r="K1841" s="5"/>
      <c r="L1841" s="7">
        <v>27.3</v>
      </c>
      <c r="M1841" s="2" t="s">
        <v>47</v>
      </c>
      <c r="N1841" s="5">
        <v>44.5</v>
      </c>
      <c r="O1841" s="5">
        <v>30.2</v>
      </c>
      <c r="P1841" s="5">
        <v>24.4</v>
      </c>
      <c r="Q1841" s="2" t="s">
        <v>376</v>
      </c>
      <c r="R1841" s="5">
        <v>666.12</v>
      </c>
      <c r="S1841" s="5">
        <v>10.44</v>
      </c>
      <c r="W1841" s="6" t="s">
        <v>2071</v>
      </c>
    </row>
    <row r="1842" spans="1:23" x14ac:dyDescent="0.15">
      <c r="A1842" s="2" t="s">
        <v>277</v>
      </c>
      <c r="B1842" s="4" t="s">
        <v>3948</v>
      </c>
      <c r="C1842" s="2" t="s">
        <v>1080</v>
      </c>
      <c r="D1842" s="2" t="s">
        <v>525</v>
      </c>
      <c r="E1842" s="1"/>
      <c r="F1842" s="2" t="s">
        <v>26</v>
      </c>
      <c r="G1842" s="2">
        <v>-1.77</v>
      </c>
      <c r="H1842" s="2" t="str">
        <f t="shared" si="61"/>
        <v>W</v>
      </c>
      <c r="I1842" s="5"/>
      <c r="J1842" s="5"/>
      <c r="K1842" s="5"/>
      <c r="L1842" s="5">
        <v>19</v>
      </c>
      <c r="M1842" s="2" t="s">
        <v>47</v>
      </c>
      <c r="N1842" s="5">
        <v>44</v>
      </c>
      <c r="O1842" s="5">
        <v>29</v>
      </c>
      <c r="P1842" s="5">
        <v>22.5</v>
      </c>
      <c r="Q1842" s="2" t="s">
        <v>18</v>
      </c>
      <c r="R1842" s="5">
        <v>427.5</v>
      </c>
      <c r="S1842" s="5"/>
      <c r="W1842" s="6" t="s">
        <v>3361</v>
      </c>
    </row>
    <row r="1843" spans="1:23" x14ac:dyDescent="0.15">
      <c r="A1843" s="2" t="s">
        <v>277</v>
      </c>
      <c r="B1843" s="4" t="s">
        <v>3948</v>
      </c>
      <c r="C1843" s="2" t="s">
        <v>1080</v>
      </c>
      <c r="D1843" s="2" t="s">
        <v>525</v>
      </c>
      <c r="E1843" s="1"/>
      <c r="F1843" s="2" t="s">
        <v>219</v>
      </c>
      <c r="G1843" s="2">
        <v>2.04</v>
      </c>
      <c r="H1843" s="2" t="str">
        <f t="shared" si="61"/>
        <v>W</v>
      </c>
      <c r="I1843" s="5"/>
      <c r="J1843" s="5"/>
      <c r="K1843" s="5"/>
      <c r="L1843" s="5">
        <v>22.36</v>
      </c>
      <c r="M1843" s="2" t="s">
        <v>47</v>
      </c>
      <c r="N1843" s="5"/>
      <c r="O1843" s="5"/>
      <c r="P1843" s="5"/>
      <c r="R1843" s="5"/>
      <c r="S1843" s="5"/>
      <c r="W1843" s="6" t="s">
        <v>3244</v>
      </c>
    </row>
    <row r="1844" spans="1:23" x14ac:dyDescent="0.15">
      <c r="A1844" s="2" t="s">
        <v>277</v>
      </c>
      <c r="B1844" s="4" t="s">
        <v>3948</v>
      </c>
      <c r="C1844" s="2" t="s">
        <v>1080</v>
      </c>
      <c r="D1844" s="2" t="s">
        <v>525</v>
      </c>
      <c r="E1844" s="1"/>
      <c r="F1844" s="2" t="s">
        <v>656</v>
      </c>
      <c r="G1844" s="2">
        <v>-5.88</v>
      </c>
      <c r="H1844" s="2" t="str">
        <f t="shared" ref="H1844:H1875" si="62">IF(G1844="captive","C","W")</f>
        <v>W</v>
      </c>
      <c r="I1844" s="5">
        <v>33.33</v>
      </c>
      <c r="J1844" s="5">
        <v>4030</v>
      </c>
      <c r="K1844" s="5"/>
      <c r="L1844" s="5">
        <v>17.55</v>
      </c>
      <c r="M1844" s="2" t="s">
        <v>47</v>
      </c>
      <c r="N1844" s="5">
        <v>46.86</v>
      </c>
      <c r="O1844" s="5">
        <v>31.49</v>
      </c>
      <c r="P1844" s="5">
        <v>26.94</v>
      </c>
      <c r="Q1844" s="2" t="s">
        <v>18</v>
      </c>
      <c r="R1844" s="5">
        <v>475.85</v>
      </c>
      <c r="S1844" s="5">
        <v>11.81</v>
      </c>
      <c r="W1844" s="6" t="s">
        <v>2735</v>
      </c>
    </row>
    <row r="1845" spans="1:23" x14ac:dyDescent="0.15">
      <c r="A1845" s="2" t="s">
        <v>277</v>
      </c>
      <c r="B1845" s="4" t="s">
        <v>3948</v>
      </c>
      <c r="C1845" s="2" t="s">
        <v>1080</v>
      </c>
      <c r="D1845" s="2" t="s">
        <v>525</v>
      </c>
      <c r="E1845" s="1"/>
      <c r="F1845" s="2" t="s">
        <v>657</v>
      </c>
      <c r="G1845" s="2">
        <v>-2.2000000000000002</v>
      </c>
      <c r="H1845" s="2" t="str">
        <f t="shared" si="62"/>
        <v>W</v>
      </c>
      <c r="I1845" s="5">
        <v>36.53</v>
      </c>
      <c r="J1845" s="5">
        <v>5950</v>
      </c>
      <c r="K1845" s="5"/>
      <c r="L1845" s="5">
        <v>29.4</v>
      </c>
      <c r="M1845" s="2" t="s">
        <v>47</v>
      </c>
      <c r="N1845" s="5">
        <v>43.41</v>
      </c>
      <c r="O1845" s="5">
        <v>29.75</v>
      </c>
      <c r="P1845" s="5">
        <v>22.73</v>
      </c>
      <c r="Q1845" s="2" t="s">
        <v>18</v>
      </c>
      <c r="R1845" s="5">
        <v>677.94</v>
      </c>
      <c r="S1845" s="5">
        <v>11.39</v>
      </c>
      <c r="W1845" s="6" t="s">
        <v>2735</v>
      </c>
    </row>
    <row r="1846" spans="1:23" x14ac:dyDescent="0.15">
      <c r="A1846" s="2" t="s">
        <v>277</v>
      </c>
      <c r="B1846" s="4" t="s">
        <v>3948</v>
      </c>
      <c r="C1846" s="2" t="s">
        <v>1080</v>
      </c>
      <c r="D1846" s="2" t="s">
        <v>525</v>
      </c>
      <c r="E1846" s="1"/>
      <c r="F1846" s="2" t="s">
        <v>58</v>
      </c>
      <c r="G1846" s="2">
        <v>6.49</v>
      </c>
      <c r="H1846" s="2" t="str">
        <f t="shared" si="62"/>
        <v>W</v>
      </c>
      <c r="I1846" s="5"/>
      <c r="J1846" s="5"/>
      <c r="K1846" s="5"/>
      <c r="L1846" s="5">
        <v>20.68</v>
      </c>
      <c r="M1846" s="2" t="s">
        <v>47</v>
      </c>
      <c r="N1846" s="5">
        <v>46.8</v>
      </c>
      <c r="O1846" s="5">
        <v>30.5</v>
      </c>
      <c r="P1846" s="5">
        <v>24.1</v>
      </c>
      <c r="Q1846" s="2" t="s">
        <v>376</v>
      </c>
      <c r="R1846" s="5">
        <v>498.3</v>
      </c>
      <c r="S1846" s="5"/>
      <c r="W1846" s="6" t="s">
        <v>3245</v>
      </c>
    </row>
    <row r="1847" spans="1:23" x14ac:dyDescent="0.15">
      <c r="A1847" s="2" t="s">
        <v>277</v>
      </c>
      <c r="B1847" s="4" t="s">
        <v>3948</v>
      </c>
      <c r="C1847" s="2" t="s">
        <v>1080</v>
      </c>
      <c r="D1847" s="2" t="s">
        <v>525</v>
      </c>
      <c r="E1847" s="1"/>
      <c r="F1847" s="2" t="s">
        <v>2274</v>
      </c>
      <c r="H1847" s="2" t="s">
        <v>3887</v>
      </c>
      <c r="I1847" s="5"/>
      <c r="J1847" s="5"/>
      <c r="K1847" s="7">
        <f>MEDIAN(5,9)</f>
        <v>7</v>
      </c>
      <c r="L1847" s="5"/>
      <c r="M1847" s="2" t="s">
        <v>47</v>
      </c>
      <c r="N1847" s="5"/>
      <c r="O1847" s="5"/>
      <c r="P1847" s="5"/>
      <c r="R1847" s="5"/>
      <c r="S1847" s="5"/>
      <c r="W1847" s="6" t="s">
        <v>2066</v>
      </c>
    </row>
    <row r="1848" spans="1:23" x14ac:dyDescent="0.15">
      <c r="A1848" s="2" t="s">
        <v>277</v>
      </c>
      <c r="B1848" s="4" t="s">
        <v>3948</v>
      </c>
      <c r="C1848" s="2" t="s">
        <v>1080</v>
      </c>
      <c r="D1848" s="2" t="s">
        <v>525</v>
      </c>
      <c r="E1848" s="1"/>
      <c r="F1848" s="2" t="s">
        <v>26</v>
      </c>
      <c r="G1848" s="2">
        <v>-2.15</v>
      </c>
      <c r="H1848" s="2" t="str">
        <f t="shared" si="62"/>
        <v>W</v>
      </c>
      <c r="I1848" s="5">
        <v>37.880000000000003</v>
      </c>
      <c r="J1848" s="5">
        <v>6045.5</v>
      </c>
      <c r="K1848" s="5"/>
      <c r="L1848" s="5">
        <v>29</v>
      </c>
      <c r="M1848" s="2" t="s">
        <v>47</v>
      </c>
      <c r="N1848" s="5">
        <v>43.4</v>
      </c>
      <c r="O1848" s="5">
        <v>29.9</v>
      </c>
      <c r="P1848" s="5">
        <v>22.9</v>
      </c>
      <c r="Q1848" s="2" t="s">
        <v>18</v>
      </c>
      <c r="R1848" s="5">
        <v>664</v>
      </c>
      <c r="S1848" s="5">
        <v>10.82</v>
      </c>
      <c r="W1848" s="6" t="s">
        <v>3380</v>
      </c>
    </row>
    <row r="1849" spans="1:23" x14ac:dyDescent="0.15">
      <c r="A1849" s="2" t="s">
        <v>277</v>
      </c>
      <c r="B1849" s="4" t="s">
        <v>3948</v>
      </c>
      <c r="C1849" s="2" t="s">
        <v>1080</v>
      </c>
      <c r="D1849" s="2" t="s">
        <v>525</v>
      </c>
      <c r="E1849" s="1"/>
      <c r="F1849" s="2" t="s">
        <v>297</v>
      </c>
      <c r="G1849" s="2">
        <v>-2</v>
      </c>
      <c r="H1849" s="2" t="str">
        <f t="shared" si="62"/>
        <v>W</v>
      </c>
      <c r="I1849" s="5"/>
      <c r="J1849" s="5"/>
      <c r="K1849" s="5"/>
      <c r="L1849" s="5">
        <v>30.1</v>
      </c>
      <c r="M1849" s="2" t="s">
        <v>47</v>
      </c>
      <c r="N1849" s="5"/>
      <c r="O1849" s="5"/>
      <c r="P1849" s="5"/>
      <c r="R1849" s="5"/>
      <c r="S1849" s="5"/>
      <c r="W1849" s="6" t="s">
        <v>2078</v>
      </c>
    </row>
    <row r="1850" spans="1:23" x14ac:dyDescent="0.15">
      <c r="A1850" s="2" t="s">
        <v>277</v>
      </c>
      <c r="B1850" s="4" t="s">
        <v>3948</v>
      </c>
      <c r="C1850" s="2" t="s">
        <v>1080</v>
      </c>
      <c r="D1850" s="2" t="s">
        <v>525</v>
      </c>
      <c r="E1850" s="1"/>
      <c r="F1850" s="2" t="s">
        <v>298</v>
      </c>
      <c r="G1850" s="2">
        <v>-2</v>
      </c>
      <c r="H1850" s="2" t="str">
        <f t="shared" si="62"/>
        <v>W</v>
      </c>
      <c r="I1850" s="5"/>
      <c r="J1850" s="5"/>
      <c r="K1850" s="5"/>
      <c r="L1850" s="5">
        <v>28.7</v>
      </c>
      <c r="M1850" s="2" t="s">
        <v>47</v>
      </c>
      <c r="N1850" s="5"/>
      <c r="O1850" s="5"/>
      <c r="P1850" s="5"/>
      <c r="R1850" s="5"/>
      <c r="S1850" s="5"/>
      <c r="W1850" s="6" t="s">
        <v>2078</v>
      </c>
    </row>
    <row r="1851" spans="1:23" x14ac:dyDescent="0.15">
      <c r="A1851" s="2" t="s">
        <v>277</v>
      </c>
      <c r="B1851" s="4" t="s">
        <v>3948</v>
      </c>
      <c r="C1851" s="2" t="s">
        <v>1080</v>
      </c>
      <c r="D1851" s="2" t="s">
        <v>525</v>
      </c>
      <c r="E1851" s="1"/>
      <c r="F1851" s="2" t="s">
        <v>848</v>
      </c>
      <c r="H1851" s="2" t="s">
        <v>3887</v>
      </c>
      <c r="I1851" s="5">
        <v>40</v>
      </c>
      <c r="J1851" s="5">
        <f xml:space="preserve"> 0.0002414*(I1851*10)^2.882</f>
        <v>7618.582253997929</v>
      </c>
      <c r="K1851" s="5"/>
      <c r="L1851" s="5">
        <f>MEDIAN(11,32)</f>
        <v>21.5</v>
      </c>
      <c r="M1851" s="2" t="s">
        <v>47</v>
      </c>
      <c r="N1851" s="5">
        <v>44</v>
      </c>
      <c r="O1851" s="5">
        <v>30</v>
      </c>
      <c r="P1851" s="5">
        <f xml:space="preserve"> 0.458*N1851 + 0.887*O1851 - 24.392</f>
        <v>22.37</v>
      </c>
      <c r="Q1851" s="2" t="s">
        <v>376</v>
      </c>
      <c r="R1851" s="5">
        <f>P1851*L1851</f>
        <v>480.95500000000004</v>
      </c>
      <c r="S1851" s="5">
        <f>(R1851/J1851)*100</f>
        <v>6.3129199628659771</v>
      </c>
      <c r="W1851" s="6" t="s">
        <v>2165</v>
      </c>
    </row>
    <row r="1852" spans="1:23" x14ac:dyDescent="0.15">
      <c r="A1852" s="2" t="s">
        <v>277</v>
      </c>
      <c r="B1852" s="4" t="s">
        <v>3948</v>
      </c>
      <c r="C1852" s="2" t="s">
        <v>1080</v>
      </c>
      <c r="D1852" s="2" t="s">
        <v>525</v>
      </c>
      <c r="E1852" s="1"/>
      <c r="F1852" s="2" t="s">
        <v>602</v>
      </c>
      <c r="G1852" s="2">
        <v>-5.24</v>
      </c>
      <c r="H1852" s="2" t="str">
        <f t="shared" si="62"/>
        <v>W</v>
      </c>
      <c r="I1852" s="5">
        <v>47.7</v>
      </c>
      <c r="J1852" s="5">
        <v>12500</v>
      </c>
      <c r="K1852" s="5"/>
      <c r="L1852" s="5">
        <v>33.908000000000001</v>
      </c>
      <c r="M1852" s="2" t="s">
        <v>47</v>
      </c>
      <c r="N1852" s="5"/>
      <c r="O1852" s="7"/>
      <c r="P1852" s="5"/>
      <c r="R1852" s="5"/>
      <c r="S1852" s="5"/>
      <c r="W1852" s="6" t="s">
        <v>2738</v>
      </c>
    </row>
    <row r="1853" spans="1:23" x14ac:dyDescent="0.15">
      <c r="A1853" s="2" t="s">
        <v>277</v>
      </c>
      <c r="B1853" s="4" t="s">
        <v>3948</v>
      </c>
      <c r="C1853" s="2" t="s">
        <v>1080</v>
      </c>
      <c r="D1853" s="2" t="s">
        <v>525</v>
      </c>
      <c r="E1853" s="1"/>
      <c r="F1853" s="2" t="s">
        <v>602</v>
      </c>
      <c r="G1853" s="2">
        <v>-5.24</v>
      </c>
      <c r="H1853" s="2" t="str">
        <f t="shared" si="62"/>
        <v>W</v>
      </c>
      <c r="I1853" s="5">
        <f xml:space="preserve"> EXP(LN(J1853/0.0002414)/2.882)/10</f>
        <v>39.966120543336018</v>
      </c>
      <c r="J1853" s="5">
        <v>7600</v>
      </c>
      <c r="K1853" s="5"/>
      <c r="L1853" s="5">
        <v>35.57</v>
      </c>
      <c r="M1853" s="2" t="s">
        <v>47</v>
      </c>
      <c r="N1853" s="5">
        <v>40.299999999999997</v>
      </c>
      <c r="O1853" s="7">
        <v>27.5</v>
      </c>
      <c r="P1853" s="5">
        <v>23.2</v>
      </c>
      <c r="Q1853" s="2" t="s">
        <v>18</v>
      </c>
      <c r="R1853" s="5">
        <v>787.8</v>
      </c>
      <c r="S1853" s="5">
        <v>10.37</v>
      </c>
      <c r="W1853" s="6" t="s">
        <v>2737</v>
      </c>
    </row>
    <row r="1854" spans="1:23" x14ac:dyDescent="0.15">
      <c r="A1854" s="2" t="s">
        <v>277</v>
      </c>
      <c r="B1854" s="4" t="s">
        <v>3948</v>
      </c>
      <c r="C1854" s="2" t="s">
        <v>1080</v>
      </c>
      <c r="D1854" s="2" t="s">
        <v>525</v>
      </c>
      <c r="E1854" s="1"/>
      <c r="F1854" s="2" t="s">
        <v>602</v>
      </c>
      <c r="G1854" s="2">
        <v>-5.24</v>
      </c>
      <c r="H1854" s="2" t="str">
        <f t="shared" si="62"/>
        <v>W</v>
      </c>
      <c r="I1854" s="5">
        <v>43</v>
      </c>
      <c r="J1854" s="5">
        <v>8400</v>
      </c>
      <c r="K1854" s="5"/>
      <c r="L1854" s="5">
        <v>34.5</v>
      </c>
      <c r="M1854" s="2" t="s">
        <v>47</v>
      </c>
      <c r="N1854" s="5">
        <v>40.299999999999997</v>
      </c>
      <c r="O1854" s="7">
        <v>27.5</v>
      </c>
      <c r="P1854" s="5">
        <v>24</v>
      </c>
      <c r="Q1854" s="2" t="s">
        <v>18</v>
      </c>
      <c r="R1854" s="5">
        <v>828</v>
      </c>
      <c r="S1854" s="5">
        <v>9.86</v>
      </c>
      <c r="W1854" s="6" t="s">
        <v>3309</v>
      </c>
    </row>
    <row r="1855" spans="1:23" x14ac:dyDescent="0.15">
      <c r="A1855" s="2" t="s">
        <v>277</v>
      </c>
      <c r="B1855" s="4" t="s">
        <v>3948</v>
      </c>
      <c r="C1855" s="2" t="s">
        <v>1080</v>
      </c>
      <c r="D1855" s="2" t="s">
        <v>525</v>
      </c>
      <c r="E1855" s="1"/>
      <c r="F1855" s="2" t="s">
        <v>602</v>
      </c>
      <c r="G1855" s="2">
        <v>-5.24</v>
      </c>
      <c r="H1855" s="2" t="str">
        <f t="shared" si="62"/>
        <v>W</v>
      </c>
      <c r="I1855" s="5"/>
      <c r="J1855" s="5"/>
      <c r="K1855" s="5"/>
      <c r="L1855" s="5">
        <v>26.43</v>
      </c>
      <c r="M1855" s="2" t="s">
        <v>47</v>
      </c>
      <c r="N1855" s="5">
        <v>40.33</v>
      </c>
      <c r="O1855" s="7">
        <v>27.47</v>
      </c>
      <c r="P1855" s="5">
        <v>19.059999999999999</v>
      </c>
      <c r="Q1855" s="2" t="s">
        <v>18</v>
      </c>
      <c r="R1855" s="5">
        <v>503.7</v>
      </c>
      <c r="S1855" s="5"/>
      <c r="W1855" s="6" t="s">
        <v>3308</v>
      </c>
    </row>
    <row r="1856" spans="1:23" x14ac:dyDescent="0.15">
      <c r="A1856" s="2" t="s">
        <v>277</v>
      </c>
      <c r="B1856" s="4" t="s">
        <v>3948</v>
      </c>
      <c r="C1856" s="2" t="s">
        <v>1080</v>
      </c>
      <c r="D1856" s="2" t="s">
        <v>525</v>
      </c>
      <c r="E1856" s="1"/>
      <c r="F1856" s="2" t="s">
        <v>602</v>
      </c>
      <c r="G1856" s="2">
        <v>-5.24</v>
      </c>
      <c r="H1856" s="2" t="str">
        <f t="shared" si="62"/>
        <v>W</v>
      </c>
      <c r="I1856" s="5">
        <f xml:space="preserve"> EXP(LN(J1856/0.0002414)/2.882)/10</f>
        <v>42.205413187537445</v>
      </c>
      <c r="J1856" s="5">
        <v>8893</v>
      </c>
      <c r="K1856" s="5"/>
      <c r="L1856" s="7">
        <v>34.5</v>
      </c>
      <c r="M1856" s="2" t="s">
        <v>47</v>
      </c>
      <c r="N1856" s="5">
        <v>40.299999999999997</v>
      </c>
      <c r="O1856" s="5">
        <v>27.5</v>
      </c>
      <c r="P1856" s="5">
        <v>23.2</v>
      </c>
      <c r="Q1856" s="2" t="s">
        <v>18</v>
      </c>
      <c r="R1856" s="5">
        <v>800.4</v>
      </c>
      <c r="S1856" s="5">
        <v>9</v>
      </c>
      <c r="W1856" s="6" t="s">
        <v>2746</v>
      </c>
    </row>
    <row r="1857" spans="1:23" x14ac:dyDescent="0.15">
      <c r="A1857" s="2" t="s">
        <v>277</v>
      </c>
      <c r="B1857" s="4" t="s">
        <v>3948</v>
      </c>
      <c r="C1857" s="2" t="s">
        <v>1080</v>
      </c>
      <c r="D1857" s="2" t="s">
        <v>525</v>
      </c>
      <c r="E1857" s="1"/>
      <c r="F1857" s="2" t="s">
        <v>602</v>
      </c>
      <c r="G1857" s="2">
        <v>-5.24</v>
      </c>
      <c r="H1857" s="2" t="str">
        <f t="shared" si="62"/>
        <v>W</v>
      </c>
      <c r="I1857" s="5">
        <v>41.38</v>
      </c>
      <c r="J1857" s="5">
        <v>8400</v>
      </c>
      <c r="K1857" s="5"/>
      <c r="L1857" s="5">
        <v>34.5</v>
      </c>
      <c r="M1857" s="2" t="s">
        <v>47</v>
      </c>
      <c r="N1857" s="5">
        <v>40.299999999999997</v>
      </c>
      <c r="O1857" s="5">
        <v>27.5</v>
      </c>
      <c r="P1857" s="5">
        <v>23.2</v>
      </c>
      <c r="Q1857" s="2" t="s">
        <v>18</v>
      </c>
      <c r="R1857" s="5">
        <v>800.4</v>
      </c>
      <c r="S1857" s="5">
        <v>9.5299999999999994</v>
      </c>
      <c r="W1857" s="6" t="s">
        <v>2746</v>
      </c>
    </row>
    <row r="1858" spans="1:23" x14ac:dyDescent="0.15">
      <c r="A1858" s="2" t="s">
        <v>277</v>
      </c>
      <c r="B1858" s="4" t="s">
        <v>3948</v>
      </c>
      <c r="C1858" s="2" t="s">
        <v>1080</v>
      </c>
      <c r="D1858" s="2" t="s">
        <v>525</v>
      </c>
      <c r="E1858" s="1"/>
      <c r="F1858" s="2" t="s">
        <v>295</v>
      </c>
      <c r="G1858" s="2">
        <v>-3</v>
      </c>
      <c r="H1858" s="2" t="str">
        <f t="shared" si="62"/>
        <v>W</v>
      </c>
      <c r="I1858" s="5"/>
      <c r="J1858" s="5"/>
      <c r="K1858" s="5"/>
      <c r="L1858" s="5">
        <v>35.1</v>
      </c>
      <c r="M1858" s="2" t="s">
        <v>47</v>
      </c>
      <c r="N1858" s="5"/>
      <c r="O1858" s="5">
        <v>30.7</v>
      </c>
      <c r="P1858" s="5">
        <v>23.2</v>
      </c>
      <c r="Q1858" s="2" t="s">
        <v>18</v>
      </c>
      <c r="R1858" s="5">
        <f>P1858*L1858</f>
        <v>814.32</v>
      </c>
      <c r="S1858" s="5"/>
      <c r="W1858" s="6" t="s">
        <v>2076</v>
      </c>
    </row>
    <row r="1859" spans="1:23" x14ac:dyDescent="0.15">
      <c r="A1859" s="2" t="s">
        <v>277</v>
      </c>
      <c r="B1859" s="4" t="s">
        <v>3948</v>
      </c>
      <c r="C1859" s="2" t="s">
        <v>1080</v>
      </c>
      <c r="D1859" s="2" t="s">
        <v>525</v>
      </c>
      <c r="E1859" s="1"/>
      <c r="F1859" s="2" t="s">
        <v>26</v>
      </c>
      <c r="G1859" s="2">
        <v>-2.98</v>
      </c>
      <c r="H1859" s="2" t="str">
        <f t="shared" si="62"/>
        <v>W</v>
      </c>
      <c r="I1859" s="5"/>
      <c r="J1859" s="5"/>
      <c r="K1859" s="5"/>
      <c r="L1859" s="7">
        <v>22</v>
      </c>
      <c r="M1859" s="2" t="s">
        <v>47</v>
      </c>
      <c r="N1859" s="5">
        <v>38.299999999999997</v>
      </c>
      <c r="O1859" s="5">
        <v>30.4</v>
      </c>
      <c r="P1859" s="5">
        <v>20.9</v>
      </c>
      <c r="Q1859" s="2" t="s">
        <v>18</v>
      </c>
      <c r="R1859" s="5">
        <v>459.8</v>
      </c>
      <c r="S1859" s="5"/>
      <c r="W1859" s="6" t="s">
        <v>2741</v>
      </c>
    </row>
    <row r="1860" spans="1:23" x14ac:dyDescent="0.15">
      <c r="A1860" s="2" t="s">
        <v>277</v>
      </c>
      <c r="B1860" s="4" t="s">
        <v>3948</v>
      </c>
      <c r="C1860" s="2" t="s">
        <v>1080</v>
      </c>
      <c r="D1860" s="2" t="s">
        <v>525</v>
      </c>
      <c r="E1860" s="1"/>
      <c r="F1860" s="2" t="s">
        <v>58</v>
      </c>
      <c r="G1860" s="2">
        <v>7</v>
      </c>
      <c r="H1860" s="2" t="str">
        <f t="shared" si="62"/>
        <v>W</v>
      </c>
      <c r="I1860" s="5">
        <v>34.200000000000003</v>
      </c>
      <c r="J1860" s="5">
        <v>3990</v>
      </c>
      <c r="K1860" s="5"/>
      <c r="L1860" s="7">
        <v>23.3</v>
      </c>
      <c r="M1860" s="2" t="s">
        <v>47</v>
      </c>
      <c r="N1860" s="5">
        <v>46</v>
      </c>
      <c r="O1860" s="5">
        <v>31</v>
      </c>
      <c r="P1860" s="5">
        <v>26.5</v>
      </c>
      <c r="Q1860" s="2" t="s">
        <v>18</v>
      </c>
      <c r="R1860" s="5">
        <v>630.70000000000005</v>
      </c>
      <c r="S1860" s="5">
        <v>15.8</v>
      </c>
      <c r="W1860" s="6" t="s">
        <v>2740</v>
      </c>
    </row>
    <row r="1861" spans="1:23" x14ac:dyDescent="0.15">
      <c r="A1861" s="2" t="s">
        <v>277</v>
      </c>
      <c r="B1861" s="4" t="s">
        <v>3948</v>
      </c>
      <c r="C1861" s="2" t="s">
        <v>1080</v>
      </c>
      <c r="D1861" s="2" t="s">
        <v>860</v>
      </c>
      <c r="E1861" s="1"/>
      <c r="F1861" s="2" t="s">
        <v>219</v>
      </c>
      <c r="G1861" s="2">
        <v>4.0999999999999996</v>
      </c>
      <c r="H1861" s="2" t="str">
        <f t="shared" si="62"/>
        <v>W</v>
      </c>
      <c r="I1861" s="5">
        <v>20.68</v>
      </c>
      <c r="J1861" s="5">
        <v>1082.07</v>
      </c>
      <c r="K1861" s="5"/>
      <c r="L1861" s="5">
        <v>9</v>
      </c>
      <c r="M1861" s="2" t="s">
        <v>47</v>
      </c>
      <c r="N1861" s="5">
        <v>42.68</v>
      </c>
      <c r="O1861" s="5">
        <v>25.41</v>
      </c>
      <c r="P1861" s="5">
        <v>15.6</v>
      </c>
      <c r="Q1861" s="2" t="s">
        <v>18</v>
      </c>
      <c r="R1861" s="5">
        <v>140.36000000000001</v>
      </c>
      <c r="S1861" s="5">
        <v>12.97</v>
      </c>
      <c r="T1861" s="2">
        <v>2</v>
      </c>
      <c r="U1861" s="2" t="str">
        <f>IF(T1861&lt;=1, "1",IF(AND(T1861&gt;1,T1861&lt;4), "2-3", "+4"))</f>
        <v>2-3</v>
      </c>
      <c r="V1861" s="5">
        <f>S1861*T1861</f>
        <v>25.94</v>
      </c>
      <c r="W1861" s="6" t="s">
        <v>2736</v>
      </c>
    </row>
    <row r="1862" spans="1:23" x14ac:dyDescent="0.15">
      <c r="A1862" s="2" t="s">
        <v>277</v>
      </c>
      <c r="B1862" s="4" t="s">
        <v>3948</v>
      </c>
      <c r="C1862" s="2" t="s">
        <v>1080</v>
      </c>
      <c r="D1862" s="2" t="s">
        <v>860</v>
      </c>
      <c r="E1862" s="1"/>
      <c r="F1862" s="2" t="s">
        <v>2274</v>
      </c>
      <c r="H1862" s="2" t="str">
        <f t="shared" si="62"/>
        <v>W</v>
      </c>
      <c r="I1862" s="5"/>
      <c r="J1862" s="5"/>
      <c r="K1862" s="7">
        <v>9</v>
      </c>
      <c r="L1862" s="5"/>
      <c r="M1862" s="2" t="s">
        <v>47</v>
      </c>
      <c r="N1862" s="5"/>
      <c r="O1862" s="5"/>
      <c r="P1862" s="5"/>
      <c r="R1862" s="5"/>
      <c r="S1862" s="5"/>
      <c r="V1862" s="5"/>
      <c r="W1862" s="6" t="s">
        <v>2066</v>
      </c>
    </row>
    <row r="1863" spans="1:23" x14ac:dyDescent="0.15">
      <c r="A1863" s="2" t="s">
        <v>277</v>
      </c>
      <c r="B1863" s="4" t="s">
        <v>3948</v>
      </c>
      <c r="C1863" s="2" t="s">
        <v>1080</v>
      </c>
      <c r="D1863" s="2" t="s">
        <v>860</v>
      </c>
      <c r="E1863" s="1"/>
      <c r="F1863" s="2" t="s">
        <v>58</v>
      </c>
      <c r="G1863" s="2">
        <v>7.8</v>
      </c>
      <c r="H1863" s="2" t="str">
        <f t="shared" si="62"/>
        <v>W</v>
      </c>
      <c r="I1863" s="5">
        <v>27.0992</v>
      </c>
      <c r="J1863" s="5">
        <f xml:space="preserve"> 0.000219*(I1863*10)^2.8786</f>
        <v>2207.763809324169</v>
      </c>
      <c r="K1863" s="5">
        <v>9</v>
      </c>
      <c r="L1863" s="5">
        <v>14.131</v>
      </c>
      <c r="M1863" s="2" t="s">
        <v>47</v>
      </c>
      <c r="N1863" s="5">
        <v>42.197000000000003</v>
      </c>
      <c r="O1863" s="5">
        <v>26.562999999999999</v>
      </c>
      <c r="P1863" s="5">
        <v>18.420000000000002</v>
      </c>
      <c r="Q1863" s="2" t="s">
        <v>18</v>
      </c>
      <c r="R1863" s="5">
        <f>P1863*L1863</f>
        <v>260.29302000000001</v>
      </c>
      <c r="S1863" s="5">
        <f>(R1863/J1863)*100</f>
        <v>11.789894322059739</v>
      </c>
      <c r="T1863" s="2">
        <v>3</v>
      </c>
      <c r="U1863" s="2" t="str">
        <f>IF(T1863&lt;=1, "1",IF(AND(T1863&gt;1,T1863&lt;4), "2-3", "+4"))</f>
        <v>2-3</v>
      </c>
      <c r="V1863" s="5">
        <f>S1863*T1863</f>
        <v>35.369682966179219</v>
      </c>
      <c r="W1863" s="6" t="s">
        <v>2079</v>
      </c>
    </row>
    <row r="1864" spans="1:23" x14ac:dyDescent="0.15">
      <c r="A1864" s="2" t="s">
        <v>277</v>
      </c>
      <c r="B1864" s="4" t="s">
        <v>3948</v>
      </c>
      <c r="C1864" s="2" t="s">
        <v>1080</v>
      </c>
      <c r="D1864" s="2" t="s">
        <v>860</v>
      </c>
      <c r="E1864" s="1"/>
      <c r="F1864" s="2" t="s">
        <v>413</v>
      </c>
      <c r="H1864" s="2" t="str">
        <f t="shared" si="62"/>
        <v>W</v>
      </c>
      <c r="I1864" s="5">
        <v>23</v>
      </c>
      <c r="J1864" s="5">
        <v>2000</v>
      </c>
      <c r="K1864" s="5"/>
      <c r="L1864" s="5">
        <f>MEDIAN(7,13)</f>
        <v>10</v>
      </c>
      <c r="M1864" s="2" t="s">
        <v>47</v>
      </c>
      <c r="N1864" s="5">
        <v>40</v>
      </c>
      <c r="O1864" s="5">
        <v>25</v>
      </c>
      <c r="P1864" s="5">
        <f xml:space="preserve"> (0.34*N1864) + (0.858*O1864) - 20.721</f>
        <v>14.328999999999997</v>
      </c>
      <c r="Q1864" s="2" t="s">
        <v>376</v>
      </c>
      <c r="R1864" s="5">
        <f>P1864*L1864</f>
        <v>143.28999999999996</v>
      </c>
      <c r="S1864" s="5">
        <f>(R1864/J1864)*100</f>
        <v>7.1644999999999985</v>
      </c>
      <c r="T1864" s="2">
        <f>MEDIAN(2,4)</f>
        <v>3</v>
      </c>
      <c r="U1864" s="2" t="str">
        <f>IF(T1864&lt;=1, "1",IF(AND(T1864&gt;1,T1864&lt;4), "2-3", "+4"))</f>
        <v>2-3</v>
      </c>
      <c r="V1864" s="5">
        <f>T1864*S1864</f>
        <v>21.493499999999997</v>
      </c>
      <c r="W1864" s="6" t="s">
        <v>2165</v>
      </c>
    </row>
    <row r="1865" spans="1:23" x14ac:dyDescent="0.15">
      <c r="A1865" s="2" t="s">
        <v>299</v>
      </c>
      <c r="B1865" s="2" t="s">
        <v>3939</v>
      </c>
      <c r="C1865" s="2" t="s">
        <v>3517</v>
      </c>
      <c r="D1865" s="2" t="s">
        <v>627</v>
      </c>
      <c r="E1865" s="1"/>
      <c r="F1865" s="2" t="s">
        <v>300</v>
      </c>
      <c r="G1865" s="2">
        <v>-9.4</v>
      </c>
      <c r="H1865" s="2" t="str">
        <f t="shared" si="62"/>
        <v>W</v>
      </c>
      <c r="I1865" s="5">
        <v>63.24</v>
      </c>
      <c r="J1865" s="5">
        <v>53311</v>
      </c>
      <c r="K1865" s="5">
        <f>MEDIAN(25,30)</f>
        <v>27.5</v>
      </c>
      <c r="L1865" s="5">
        <v>3.8</v>
      </c>
      <c r="M1865" s="2" t="s">
        <v>571</v>
      </c>
      <c r="N1865" s="5">
        <v>51.4</v>
      </c>
      <c r="O1865" s="5">
        <v>51.4</v>
      </c>
      <c r="P1865" s="5">
        <v>77.5</v>
      </c>
      <c r="Q1865" s="2" t="s">
        <v>18</v>
      </c>
      <c r="R1865" s="5">
        <v>294.5</v>
      </c>
      <c r="S1865" s="5">
        <f>(R1865/J1865)*100</f>
        <v>0.55241882538312925</v>
      </c>
      <c r="V1865" s="5"/>
      <c r="W1865" s="6" t="s">
        <v>2732</v>
      </c>
    </row>
    <row r="1866" spans="1:23" x14ac:dyDescent="0.15">
      <c r="A1866" s="2" t="s">
        <v>299</v>
      </c>
      <c r="B1866" s="2" t="s">
        <v>3939</v>
      </c>
      <c r="C1866" s="2" t="s">
        <v>3517</v>
      </c>
      <c r="D1866" s="2" t="s">
        <v>627</v>
      </c>
      <c r="E1866" s="1"/>
      <c r="F1866" s="2" t="s">
        <v>3539</v>
      </c>
      <c r="G1866" s="2">
        <v>-9.4</v>
      </c>
      <c r="H1866" s="2" t="str">
        <f t="shared" si="62"/>
        <v>W</v>
      </c>
      <c r="I1866" s="5"/>
      <c r="J1866" s="5"/>
      <c r="K1866" s="5"/>
      <c r="L1866" s="5">
        <v>5.15</v>
      </c>
      <c r="M1866" s="2" t="s">
        <v>571</v>
      </c>
      <c r="N1866" s="5"/>
      <c r="O1866" s="5"/>
      <c r="P1866" s="5">
        <v>73.55</v>
      </c>
      <c r="Q1866" s="2" t="s">
        <v>18</v>
      </c>
      <c r="R1866" s="5">
        <f>P1866*L1866</f>
        <v>378.78250000000003</v>
      </c>
      <c r="S1866" s="5"/>
      <c r="T1866" s="2">
        <v>0.39</v>
      </c>
      <c r="U1866" s="2" t="str">
        <f>IF(T1866&lt;=1, "1",IF(AND(T1866&gt;1,T1866&lt;4), "2-3", "+4"))</f>
        <v>1</v>
      </c>
      <c r="V1866" s="5"/>
      <c r="W1866" s="6" t="s">
        <v>1991</v>
      </c>
    </row>
    <row r="1867" spans="1:23" x14ac:dyDescent="0.15">
      <c r="A1867" s="2" t="s">
        <v>299</v>
      </c>
      <c r="B1867" s="2" t="s">
        <v>3939</v>
      </c>
      <c r="C1867" s="2" t="s">
        <v>3517</v>
      </c>
      <c r="D1867" s="2" t="s">
        <v>627</v>
      </c>
      <c r="E1867" s="1"/>
      <c r="F1867" s="2" t="s">
        <v>870</v>
      </c>
      <c r="G1867" s="2">
        <v>-9.4</v>
      </c>
      <c r="H1867" s="2" t="str">
        <f t="shared" si="62"/>
        <v>W</v>
      </c>
      <c r="I1867" s="5"/>
      <c r="J1867" s="5"/>
      <c r="K1867" s="5"/>
      <c r="L1867" s="5">
        <v>13.27</v>
      </c>
      <c r="M1867" s="2" t="s">
        <v>571</v>
      </c>
      <c r="N1867" s="5"/>
      <c r="O1867" s="5"/>
      <c r="P1867" s="5">
        <v>81.53</v>
      </c>
      <c r="Q1867" s="2" t="s">
        <v>18</v>
      </c>
      <c r="R1867" s="5">
        <f>P1867*L1867</f>
        <v>1081.9031</v>
      </c>
      <c r="S1867" s="5"/>
      <c r="T1867" s="2">
        <v>1.6419999999999999</v>
      </c>
      <c r="U1867" s="2" t="str">
        <f>IF(T1867&lt;=1, "1",IF(AND(T1867&gt;1,T1867&lt;4), "2-3", "+4"))</f>
        <v>2-3</v>
      </c>
      <c r="V1867" s="5"/>
      <c r="W1867" s="6" t="s">
        <v>1991</v>
      </c>
    </row>
    <row r="1868" spans="1:23" x14ac:dyDescent="0.15">
      <c r="A1868" s="2" t="s">
        <v>299</v>
      </c>
      <c r="B1868" s="2" t="s">
        <v>3939</v>
      </c>
      <c r="C1868" s="2" t="s">
        <v>3517</v>
      </c>
      <c r="D1868" s="2" t="s">
        <v>627</v>
      </c>
      <c r="E1868" s="1"/>
      <c r="F1868" s="2" t="s">
        <v>374</v>
      </c>
      <c r="G1868" s="2" t="s">
        <v>374</v>
      </c>
      <c r="H1868" s="2" t="str">
        <f t="shared" si="62"/>
        <v>C</v>
      </c>
      <c r="I1868" s="5"/>
      <c r="J1868" s="5"/>
      <c r="K1868" s="5"/>
      <c r="L1868" s="5"/>
      <c r="M1868" s="2" t="s">
        <v>571</v>
      </c>
      <c r="N1868" s="5">
        <v>55</v>
      </c>
      <c r="O1868" s="5">
        <v>50</v>
      </c>
      <c r="P1868" s="5">
        <v>75</v>
      </c>
      <c r="Q1868" s="2" t="s">
        <v>18</v>
      </c>
      <c r="R1868" s="5"/>
      <c r="S1868" s="5"/>
      <c r="V1868" s="5"/>
      <c r="W1868" s="6" t="s">
        <v>2159</v>
      </c>
    </row>
    <row r="1869" spans="1:23" x14ac:dyDescent="0.15">
      <c r="A1869" s="2" t="s">
        <v>299</v>
      </c>
      <c r="B1869" s="2" t="s">
        <v>3939</v>
      </c>
      <c r="C1869" s="2" t="s">
        <v>3517</v>
      </c>
      <c r="D1869" s="2" t="s">
        <v>627</v>
      </c>
      <c r="E1869" s="1"/>
      <c r="F1869" s="2" t="s">
        <v>300</v>
      </c>
      <c r="G1869" s="2" t="s">
        <v>374</v>
      </c>
      <c r="H1869" s="2" t="str">
        <f t="shared" si="62"/>
        <v>C</v>
      </c>
      <c r="I1869" s="5">
        <v>30</v>
      </c>
      <c r="J1869" s="5">
        <f xml:space="preserve"> 8.278*I1869^2.1149</f>
        <v>11012.582214779764</v>
      </c>
      <c r="K1869" s="5"/>
      <c r="L1869" s="5">
        <v>13</v>
      </c>
      <c r="M1869" s="2" t="s">
        <v>571</v>
      </c>
      <c r="N1869" s="5"/>
      <c r="O1869" s="5"/>
      <c r="P1869" s="5"/>
      <c r="R1869" s="5"/>
      <c r="S1869" s="5"/>
      <c r="V1869" s="5"/>
      <c r="W1869" s="6" t="s">
        <v>2733</v>
      </c>
    </row>
    <row r="1870" spans="1:23" x14ac:dyDescent="0.15">
      <c r="A1870" s="2" t="s">
        <v>299</v>
      </c>
      <c r="B1870" s="2" t="s">
        <v>3939</v>
      </c>
      <c r="C1870" s="2" t="s">
        <v>3517</v>
      </c>
      <c r="D1870" s="2" t="s">
        <v>627</v>
      </c>
      <c r="E1870" s="1"/>
      <c r="F1870" s="2" t="s">
        <v>374</v>
      </c>
      <c r="G1870" s="2" t="s">
        <v>374</v>
      </c>
      <c r="H1870" s="2" t="str">
        <f t="shared" si="62"/>
        <v>C</v>
      </c>
      <c r="I1870" s="5">
        <f>87/1.3151</f>
        <v>66.154665044483309</v>
      </c>
      <c r="J1870" s="5">
        <v>50000</v>
      </c>
      <c r="K1870" s="5"/>
      <c r="L1870" s="5">
        <v>8.5</v>
      </c>
      <c r="M1870" s="2" t="s">
        <v>571</v>
      </c>
      <c r="N1870" s="5"/>
      <c r="O1870" s="5"/>
      <c r="P1870" s="5"/>
      <c r="R1870" s="5"/>
      <c r="S1870" s="5"/>
      <c r="V1870" s="5"/>
      <c r="W1870" s="6" t="s">
        <v>2734</v>
      </c>
    </row>
    <row r="1871" spans="1:23" x14ac:dyDescent="0.15">
      <c r="A1871" s="2" t="s">
        <v>299</v>
      </c>
      <c r="B1871" s="2" t="s">
        <v>3939</v>
      </c>
      <c r="C1871" s="2" t="s">
        <v>3517</v>
      </c>
      <c r="D1871" s="2" t="s">
        <v>627</v>
      </c>
      <c r="E1871" s="1"/>
      <c r="F1871" s="2" t="s">
        <v>2286</v>
      </c>
      <c r="G1871" s="2">
        <v>-9.4</v>
      </c>
      <c r="H1871" s="2" t="str">
        <f t="shared" si="62"/>
        <v>W</v>
      </c>
      <c r="I1871" s="5"/>
      <c r="J1871" s="5"/>
      <c r="K1871" s="5">
        <v>17</v>
      </c>
      <c r="L1871" s="5">
        <v>13.7</v>
      </c>
      <c r="M1871" s="2" t="s">
        <v>571</v>
      </c>
      <c r="N1871" s="5"/>
      <c r="O1871" s="5"/>
      <c r="P1871" s="5">
        <v>87.1</v>
      </c>
      <c r="Q1871" s="2" t="s">
        <v>18</v>
      </c>
      <c r="R1871" s="5">
        <v>1193.27</v>
      </c>
      <c r="S1871" s="5"/>
      <c r="T1871" s="2">
        <v>2.2000000000000002</v>
      </c>
      <c r="U1871" s="2" t="str">
        <f>IF(T1871&lt;=1, "1",IF(AND(T1871&gt;1,T1871&lt;4), "2-3", "+4"))</f>
        <v>2-3</v>
      </c>
      <c r="V1871" s="5"/>
      <c r="W1871" s="6" t="s">
        <v>2596</v>
      </c>
    </row>
    <row r="1872" spans="1:23" x14ac:dyDescent="0.15">
      <c r="A1872" s="2" t="s">
        <v>299</v>
      </c>
      <c r="B1872" s="2" t="s">
        <v>3939</v>
      </c>
      <c r="C1872" s="2" t="s">
        <v>3517</v>
      </c>
      <c r="D1872" s="2" t="s">
        <v>627</v>
      </c>
      <c r="E1872" s="1"/>
      <c r="F1872" s="2" t="s">
        <v>2284</v>
      </c>
      <c r="G1872" s="2">
        <v>-9.4</v>
      </c>
      <c r="H1872" s="2" t="str">
        <f t="shared" si="62"/>
        <v>W</v>
      </c>
      <c r="I1872" s="5"/>
      <c r="J1872" s="5"/>
      <c r="K1872" s="5">
        <v>23</v>
      </c>
      <c r="L1872" s="5">
        <v>4.9000000000000004</v>
      </c>
      <c r="M1872" s="2" t="s">
        <v>571</v>
      </c>
      <c r="N1872" s="5"/>
      <c r="O1872" s="5"/>
      <c r="P1872" s="5">
        <v>78.5</v>
      </c>
      <c r="Q1872" s="2" t="s">
        <v>18</v>
      </c>
      <c r="R1872" s="5">
        <v>384.65</v>
      </c>
      <c r="S1872" s="5"/>
      <c r="T1872" s="2" t="s">
        <v>2285</v>
      </c>
      <c r="U1872" s="2">
        <v>1</v>
      </c>
      <c r="V1872" s="5"/>
      <c r="W1872" s="6" t="s">
        <v>2596</v>
      </c>
    </row>
    <row r="1873" spans="1:23" x14ac:dyDescent="0.15">
      <c r="A1873" s="2" t="s">
        <v>299</v>
      </c>
      <c r="B1873" s="2" t="s">
        <v>3939</v>
      </c>
      <c r="C1873" s="2" t="s">
        <v>3517</v>
      </c>
      <c r="D1873" s="2" t="s">
        <v>627</v>
      </c>
      <c r="E1873" s="1"/>
      <c r="F1873" s="2" t="s">
        <v>2283</v>
      </c>
      <c r="G1873" s="2">
        <v>-9.4</v>
      </c>
      <c r="H1873" s="2" t="str">
        <f t="shared" si="62"/>
        <v>W</v>
      </c>
      <c r="I1873" s="5"/>
      <c r="J1873" s="5"/>
      <c r="K1873" s="5"/>
      <c r="L1873" s="5">
        <v>3.9</v>
      </c>
      <c r="M1873" s="2" t="s">
        <v>571</v>
      </c>
      <c r="N1873" s="5"/>
      <c r="O1873" s="5"/>
      <c r="P1873" s="5"/>
      <c r="R1873" s="5"/>
      <c r="S1873" s="5"/>
      <c r="V1873" s="5"/>
      <c r="W1873" s="6" t="s">
        <v>2597</v>
      </c>
    </row>
    <row r="1874" spans="1:23" x14ac:dyDescent="0.15">
      <c r="A1874" s="2" t="s">
        <v>299</v>
      </c>
      <c r="B1874" s="2" t="s">
        <v>3939</v>
      </c>
      <c r="C1874" s="2" t="s">
        <v>3517</v>
      </c>
      <c r="D1874" s="2" t="s">
        <v>627</v>
      </c>
      <c r="E1874" s="1"/>
      <c r="F1874" s="2" t="s">
        <v>2282</v>
      </c>
      <c r="G1874" s="2">
        <v>-9.4</v>
      </c>
      <c r="H1874" s="2" t="str">
        <f t="shared" si="62"/>
        <v>W</v>
      </c>
      <c r="I1874" s="5"/>
      <c r="J1874" s="5"/>
      <c r="K1874" s="5"/>
      <c r="L1874" s="5">
        <v>6.4</v>
      </c>
      <c r="M1874" s="2" t="s">
        <v>571</v>
      </c>
      <c r="N1874" s="5"/>
      <c r="O1874" s="5"/>
      <c r="P1874" s="5"/>
      <c r="R1874" s="5"/>
      <c r="S1874" s="5"/>
      <c r="V1874" s="5"/>
      <c r="W1874" s="6" t="s">
        <v>2597</v>
      </c>
    </row>
    <row r="1875" spans="1:23" x14ac:dyDescent="0.15">
      <c r="A1875" s="2" t="s">
        <v>299</v>
      </c>
      <c r="B1875" s="2" t="s">
        <v>3939</v>
      </c>
      <c r="C1875" s="2" t="s">
        <v>3518</v>
      </c>
      <c r="D1875" s="2" t="s">
        <v>628</v>
      </c>
      <c r="E1875" s="1"/>
      <c r="F1875" s="2" t="s">
        <v>301</v>
      </c>
      <c r="G1875" s="2" t="s">
        <v>374</v>
      </c>
      <c r="H1875" s="2" t="str">
        <f t="shared" si="62"/>
        <v>C</v>
      </c>
      <c r="I1875" s="5"/>
      <c r="J1875" s="5"/>
      <c r="K1875" s="7"/>
      <c r="L1875" s="7">
        <v>5.0999999999999996</v>
      </c>
      <c r="M1875" s="2" t="s">
        <v>571</v>
      </c>
      <c r="N1875" s="5"/>
      <c r="O1875" s="5"/>
      <c r="P1875" s="5"/>
      <c r="R1875" s="5"/>
      <c r="S1875" s="5"/>
      <c r="T1875" s="9" t="s">
        <v>416</v>
      </c>
      <c r="U1875" s="40" t="s">
        <v>4047</v>
      </c>
      <c r="V1875" s="5"/>
      <c r="W1875" s="6" t="s">
        <v>2730</v>
      </c>
    </row>
    <row r="1876" spans="1:23" x14ac:dyDescent="0.15">
      <c r="A1876" s="2" t="s">
        <v>299</v>
      </c>
      <c r="B1876" s="2" t="s">
        <v>3939</v>
      </c>
      <c r="C1876" s="2" t="s">
        <v>3518</v>
      </c>
      <c r="D1876" s="2" t="s">
        <v>628</v>
      </c>
      <c r="E1876" s="1"/>
      <c r="F1876" s="2" t="s">
        <v>374</v>
      </c>
      <c r="G1876" s="2" t="s">
        <v>374</v>
      </c>
      <c r="H1876" s="2" t="str">
        <f t="shared" ref="H1876:H1907" si="63">IF(G1876="captive","C","W")</f>
        <v>C</v>
      </c>
      <c r="I1876" s="5">
        <v>34.659999999999997</v>
      </c>
      <c r="J1876" s="5">
        <v>8300</v>
      </c>
      <c r="K1876" s="5"/>
      <c r="L1876" s="5">
        <v>3.9</v>
      </c>
      <c r="M1876" s="2" t="s">
        <v>571</v>
      </c>
      <c r="N1876" s="5">
        <v>44</v>
      </c>
      <c r="O1876" s="5">
        <v>39.9</v>
      </c>
      <c r="P1876" s="5">
        <v>40.5</v>
      </c>
      <c r="Q1876" s="2" t="s">
        <v>18</v>
      </c>
      <c r="R1876" s="5">
        <v>157.94999999999999</v>
      </c>
      <c r="S1876" s="5">
        <v>1.903</v>
      </c>
      <c r="T1876" s="9">
        <f>MEDIAN(1,5)</f>
        <v>3</v>
      </c>
      <c r="U1876" s="2" t="str">
        <f>IF(T1876&lt;=1, "1",IF(AND(T1876&gt;1,T1876&lt;4), "2-3", "+4"))</f>
        <v>2-3</v>
      </c>
      <c r="V1876" s="5">
        <f>S1876*T1876</f>
        <v>5.7089999999999996</v>
      </c>
      <c r="W1876" s="6" t="s">
        <v>3570</v>
      </c>
    </row>
    <row r="1877" spans="1:23" x14ac:dyDescent="0.15">
      <c r="A1877" s="2" t="s">
        <v>299</v>
      </c>
      <c r="B1877" s="2" t="s">
        <v>3939</v>
      </c>
      <c r="C1877" s="2" t="s">
        <v>3518</v>
      </c>
      <c r="D1877" s="2" t="s">
        <v>628</v>
      </c>
      <c r="E1877" s="1"/>
      <c r="F1877" s="2" t="s">
        <v>301</v>
      </c>
      <c r="G1877" s="2">
        <v>-24.15</v>
      </c>
      <c r="H1877" s="2" t="str">
        <f t="shared" si="63"/>
        <v>W</v>
      </c>
      <c r="I1877" s="5">
        <v>30</v>
      </c>
      <c r="J1877" s="5">
        <v>5300</v>
      </c>
      <c r="K1877" s="5"/>
      <c r="L1877" s="7">
        <v>2.56</v>
      </c>
      <c r="M1877" s="2" t="s">
        <v>571</v>
      </c>
      <c r="N1877" s="5"/>
      <c r="O1877" s="5"/>
      <c r="P1877" s="5">
        <v>30.6</v>
      </c>
      <c r="Q1877" s="2" t="s">
        <v>18</v>
      </c>
      <c r="R1877" s="5">
        <v>78.34</v>
      </c>
      <c r="S1877" s="5">
        <v>1.48</v>
      </c>
      <c r="T1877" s="9">
        <f>MEDIAN(1,2)</f>
        <v>1.5</v>
      </c>
      <c r="U1877" s="2" t="str">
        <f>IF(T1877&lt;=1, "1",IF(AND(T1877&gt;1,T1877&lt;4), "2-3", "+4"))</f>
        <v>2-3</v>
      </c>
      <c r="V1877" s="5">
        <f>S1877*T1877</f>
        <v>2.2199999999999998</v>
      </c>
      <c r="W1877" s="6" t="s">
        <v>3083</v>
      </c>
    </row>
    <row r="1878" spans="1:23" x14ac:dyDescent="0.15">
      <c r="A1878" s="2" t="s">
        <v>299</v>
      </c>
      <c r="B1878" s="2" t="s">
        <v>3939</v>
      </c>
      <c r="C1878" s="2" t="s">
        <v>3518</v>
      </c>
      <c r="D1878" s="2" t="s">
        <v>628</v>
      </c>
      <c r="E1878" s="1"/>
      <c r="F1878" s="2" t="s">
        <v>301</v>
      </c>
      <c r="G1878" s="2" t="s">
        <v>374</v>
      </c>
      <c r="H1878" s="2" t="str">
        <f t="shared" si="63"/>
        <v>C</v>
      </c>
      <c r="I1878" s="5">
        <v>33.64</v>
      </c>
      <c r="J1878" s="5">
        <v>7100</v>
      </c>
      <c r="K1878" s="5"/>
      <c r="L1878" s="7">
        <v>3.57</v>
      </c>
      <c r="M1878" s="2" t="s">
        <v>571</v>
      </c>
      <c r="N1878" s="5"/>
      <c r="O1878" s="5"/>
      <c r="P1878" s="5">
        <v>36.299999999999997</v>
      </c>
      <c r="Q1878" s="2" t="s">
        <v>18</v>
      </c>
      <c r="R1878" s="5">
        <v>129.59</v>
      </c>
      <c r="S1878" s="5">
        <v>1.83</v>
      </c>
      <c r="T1878" s="2" t="s">
        <v>893</v>
      </c>
      <c r="U1878" s="40" t="s">
        <v>4047</v>
      </c>
      <c r="V1878" s="5"/>
      <c r="W1878" s="6" t="s">
        <v>3083</v>
      </c>
    </row>
    <row r="1879" spans="1:23" x14ac:dyDescent="0.15">
      <c r="A1879" s="2" t="s">
        <v>299</v>
      </c>
      <c r="B1879" s="2" t="s">
        <v>3939</v>
      </c>
      <c r="C1879" s="2" t="s">
        <v>3518</v>
      </c>
      <c r="D1879" s="2" t="s">
        <v>628</v>
      </c>
      <c r="E1879" s="1"/>
      <c r="F1879" s="2" t="s">
        <v>301</v>
      </c>
      <c r="G1879" s="2">
        <v>-25</v>
      </c>
      <c r="H1879" s="2" t="str">
        <f t="shared" si="63"/>
        <v>W</v>
      </c>
      <c r="I1879" s="5">
        <v>30</v>
      </c>
      <c r="J1879" s="5">
        <f>5.3*1000</f>
        <v>5300</v>
      </c>
      <c r="K1879" s="5"/>
      <c r="L1879" s="5">
        <v>2.5</v>
      </c>
      <c r="M1879" s="2" t="s">
        <v>571</v>
      </c>
      <c r="N1879" s="5"/>
      <c r="O1879" s="5"/>
      <c r="P1879" s="5">
        <v>31.1</v>
      </c>
      <c r="Q1879" s="2" t="s">
        <v>18</v>
      </c>
      <c r="R1879" s="5">
        <f>P1879*L1879</f>
        <v>77.75</v>
      </c>
      <c r="S1879" s="5">
        <f>(R1879/J1879)*100</f>
        <v>1.4669811320754718</v>
      </c>
      <c r="T1879" s="2" t="s">
        <v>122</v>
      </c>
      <c r="V1879" s="5"/>
      <c r="W1879" s="6" t="s">
        <v>2081</v>
      </c>
    </row>
    <row r="1880" spans="1:23" x14ac:dyDescent="0.15">
      <c r="A1880" s="2" t="s">
        <v>299</v>
      </c>
      <c r="B1880" s="2" t="s">
        <v>3939</v>
      </c>
      <c r="C1880" s="2" t="s">
        <v>3518</v>
      </c>
      <c r="D1880" s="2" t="s">
        <v>628</v>
      </c>
      <c r="E1880" s="1"/>
      <c r="F1880" s="2" t="s">
        <v>374</v>
      </c>
      <c r="G1880" s="2" t="s">
        <v>374</v>
      </c>
      <c r="H1880" s="2" t="str">
        <f t="shared" si="63"/>
        <v>C</v>
      </c>
      <c r="I1880" s="5">
        <v>35.4</v>
      </c>
      <c r="J1880" s="5">
        <v>8360</v>
      </c>
      <c r="K1880" s="7">
        <f>MEDIAN(9,10)</f>
        <v>9.5</v>
      </c>
      <c r="L1880" s="5">
        <v>4</v>
      </c>
      <c r="M1880" s="2" t="s">
        <v>571</v>
      </c>
      <c r="N1880" s="5">
        <f>MEDIAN(37.5,44.1)</f>
        <v>40.799999999999997</v>
      </c>
      <c r="O1880" s="5">
        <f>MEDIAN(36.5,40.2)</f>
        <v>38.35</v>
      </c>
      <c r="P1880" s="5">
        <v>39.5</v>
      </c>
      <c r="Q1880" s="2" t="s">
        <v>18</v>
      </c>
      <c r="R1880" s="5">
        <v>158</v>
      </c>
      <c r="S1880" s="5">
        <v>1.89</v>
      </c>
      <c r="T1880" s="9">
        <f>MEDIAN(2,3)</f>
        <v>2.5</v>
      </c>
      <c r="U1880" s="2" t="str">
        <f>IF(T1880&lt;=1, "1",IF(AND(T1880&gt;1,T1880&lt;4), "2-3", "+4"))</f>
        <v>2-3</v>
      </c>
      <c r="V1880" s="5">
        <f>S1880*T1880</f>
        <v>4.7249999999999996</v>
      </c>
      <c r="W1880" s="6" t="s">
        <v>2731</v>
      </c>
    </row>
    <row r="1881" spans="1:23" x14ac:dyDescent="0.15">
      <c r="A1881" s="2" t="s">
        <v>299</v>
      </c>
      <c r="B1881" s="2" t="s">
        <v>3939</v>
      </c>
      <c r="C1881" s="2" t="s">
        <v>3518</v>
      </c>
      <c r="D1881" s="2" t="s">
        <v>628</v>
      </c>
      <c r="E1881" s="1"/>
      <c r="F1881" s="2" t="s">
        <v>301</v>
      </c>
      <c r="G1881" s="2">
        <v>-25</v>
      </c>
      <c r="H1881" s="2" t="str">
        <f t="shared" si="63"/>
        <v>W</v>
      </c>
      <c r="I1881" s="5">
        <v>31.89</v>
      </c>
      <c r="J1881" s="5">
        <v>6210</v>
      </c>
      <c r="K1881" s="5"/>
      <c r="L1881" s="5">
        <v>2.5299999999999998</v>
      </c>
      <c r="M1881" s="2" t="s">
        <v>571</v>
      </c>
      <c r="N1881" s="5">
        <v>41.2</v>
      </c>
      <c r="O1881" s="5">
        <v>38</v>
      </c>
      <c r="P1881" s="5">
        <v>39.020000000000003</v>
      </c>
      <c r="Q1881" s="2" t="s">
        <v>18</v>
      </c>
      <c r="R1881" s="5">
        <v>122.8</v>
      </c>
      <c r="S1881" s="5">
        <f>(R1881/J1881)*100</f>
        <v>1.9774557165861513</v>
      </c>
      <c r="V1881" s="5"/>
      <c r="W1881" s="6" t="s">
        <v>1859</v>
      </c>
    </row>
    <row r="1882" spans="1:23" x14ac:dyDescent="0.15">
      <c r="A1882" s="2" t="s">
        <v>299</v>
      </c>
      <c r="B1882" s="2" t="s">
        <v>3939</v>
      </c>
      <c r="C1882" s="2" t="s">
        <v>3518</v>
      </c>
      <c r="D1882" s="2" t="s">
        <v>628</v>
      </c>
      <c r="E1882" s="1"/>
      <c r="F1882" s="2" t="s">
        <v>301</v>
      </c>
      <c r="H1882" s="2" t="str">
        <f t="shared" si="63"/>
        <v>W</v>
      </c>
      <c r="I1882" s="5">
        <v>30.5</v>
      </c>
      <c r="J1882" s="5">
        <v>5500</v>
      </c>
      <c r="K1882" s="5">
        <v>16</v>
      </c>
      <c r="L1882" s="7"/>
      <c r="M1882" s="2" t="s">
        <v>571</v>
      </c>
      <c r="N1882" s="7"/>
      <c r="O1882" s="5"/>
      <c r="P1882" s="5">
        <v>39</v>
      </c>
      <c r="Q1882" s="2" t="s">
        <v>18</v>
      </c>
      <c r="R1882" s="5">
        <v>97.5</v>
      </c>
      <c r="S1882" s="5">
        <v>1.77</v>
      </c>
      <c r="T1882" s="9">
        <f>MEDIAN(1,3)</f>
        <v>2</v>
      </c>
      <c r="U1882" s="2" t="str">
        <f>IF(T1882&lt;=1, "1",IF(AND(T1882&gt;1,T1882&lt;4), "2-3", "+4"))</f>
        <v>2-3</v>
      </c>
      <c r="V1882" s="5">
        <f>S1882*T1882</f>
        <v>3.54</v>
      </c>
      <c r="W1882" s="6" t="s">
        <v>2622</v>
      </c>
    </row>
    <row r="1883" spans="1:23" x14ac:dyDescent="0.15">
      <c r="A1883" s="2" t="s">
        <v>299</v>
      </c>
      <c r="B1883" s="2" t="s">
        <v>3939</v>
      </c>
      <c r="C1883" s="2" t="s">
        <v>3518</v>
      </c>
      <c r="D1883" s="2" t="s">
        <v>628</v>
      </c>
      <c r="E1883" s="1"/>
      <c r="F1883" s="2" t="s">
        <v>301</v>
      </c>
      <c r="H1883" s="2" t="str">
        <f t="shared" si="63"/>
        <v>W</v>
      </c>
      <c r="I1883" s="5">
        <v>30.5</v>
      </c>
      <c r="J1883" s="5">
        <v>5500</v>
      </c>
      <c r="K1883" s="7">
        <f>MEDIAN(16,21)</f>
        <v>18.5</v>
      </c>
      <c r="L1883" s="7">
        <v>2.5</v>
      </c>
      <c r="M1883" s="2" t="s">
        <v>571</v>
      </c>
      <c r="N1883" s="5"/>
      <c r="O1883" s="5"/>
      <c r="P1883" s="5">
        <v>39</v>
      </c>
      <c r="Q1883" s="2" t="s">
        <v>18</v>
      </c>
      <c r="R1883" s="5">
        <v>97.5</v>
      </c>
      <c r="S1883" s="5">
        <v>1.77</v>
      </c>
      <c r="T1883" s="9">
        <f>MEDIAN(1,3)</f>
        <v>2</v>
      </c>
      <c r="U1883" s="2" t="str">
        <f>IF(T1883&lt;=1, "1",IF(AND(T1883&gt;1,T1883&lt;4), "2-3", "+4"))</f>
        <v>2-3</v>
      </c>
      <c r="V1883" s="5">
        <f>S1883*T1883</f>
        <v>3.54</v>
      </c>
      <c r="W1883" s="6" t="s">
        <v>2619</v>
      </c>
    </row>
    <row r="1884" spans="1:23" x14ac:dyDescent="0.15">
      <c r="A1884" s="2" t="s">
        <v>299</v>
      </c>
      <c r="B1884" s="2" t="s">
        <v>3939</v>
      </c>
      <c r="C1884" s="2" t="s">
        <v>3518</v>
      </c>
      <c r="D1884" s="2" t="s">
        <v>628</v>
      </c>
      <c r="E1884" s="1"/>
      <c r="F1884" s="2" t="s">
        <v>374</v>
      </c>
      <c r="G1884" s="2" t="s">
        <v>374</v>
      </c>
      <c r="H1884" s="2" t="str">
        <f t="shared" si="63"/>
        <v>C</v>
      </c>
      <c r="I1884" s="5"/>
      <c r="J1884" s="5"/>
      <c r="K1884" s="7">
        <v>5</v>
      </c>
      <c r="L1884" s="7"/>
      <c r="M1884" s="2" t="s">
        <v>571</v>
      </c>
      <c r="N1884" s="5"/>
      <c r="O1884" s="5"/>
      <c r="P1884" s="5"/>
      <c r="R1884" s="5"/>
      <c r="S1884" s="5"/>
      <c r="T1884" s="9"/>
      <c r="U1884" s="9"/>
      <c r="V1884" s="5"/>
      <c r="W1884" s="6" t="s">
        <v>2729</v>
      </c>
    </row>
    <row r="1885" spans="1:23" x14ac:dyDescent="0.15">
      <c r="A1885" s="2" t="s">
        <v>299</v>
      </c>
      <c r="B1885" s="2" t="s">
        <v>3939</v>
      </c>
      <c r="C1885" s="2" t="s">
        <v>3518</v>
      </c>
      <c r="D1885" s="2" t="s">
        <v>628</v>
      </c>
      <c r="E1885" s="1"/>
      <c r="F1885" s="2" t="s">
        <v>374</v>
      </c>
      <c r="G1885" s="2" t="s">
        <v>374</v>
      </c>
      <c r="H1885" s="2" t="str">
        <f t="shared" si="63"/>
        <v>C</v>
      </c>
      <c r="I1885" s="5">
        <v>35.4</v>
      </c>
      <c r="J1885" s="5">
        <v>9318</v>
      </c>
      <c r="K1885" s="5"/>
      <c r="L1885" s="5">
        <v>4.33</v>
      </c>
      <c r="M1885" s="2" t="s">
        <v>571</v>
      </c>
      <c r="N1885" s="5">
        <v>39.08</v>
      </c>
      <c r="O1885" s="5">
        <v>36.46</v>
      </c>
      <c r="P1885" s="5">
        <v>32.549999999999997</v>
      </c>
      <c r="Q1885" s="2" t="s">
        <v>376</v>
      </c>
      <c r="R1885" s="5">
        <v>140.94</v>
      </c>
      <c r="S1885" s="5">
        <v>1.5129999999999999</v>
      </c>
      <c r="T1885" s="2" t="s">
        <v>524</v>
      </c>
      <c r="U1885" s="40" t="s">
        <v>395</v>
      </c>
      <c r="V1885" s="5"/>
      <c r="W1885" s="6" t="s">
        <v>2080</v>
      </c>
    </row>
    <row r="1886" spans="1:23" x14ac:dyDescent="0.15">
      <c r="A1886" s="2" t="s">
        <v>299</v>
      </c>
      <c r="B1886" s="2" t="s">
        <v>3939</v>
      </c>
      <c r="C1886" s="2" t="s">
        <v>3518</v>
      </c>
      <c r="D1886" s="2" t="s">
        <v>630</v>
      </c>
      <c r="E1886" s="1"/>
      <c r="F1886" s="2" t="s">
        <v>301</v>
      </c>
      <c r="G1886" s="2">
        <v>-15.7</v>
      </c>
      <c r="H1886" s="2" t="str">
        <f t="shared" si="63"/>
        <v>W</v>
      </c>
      <c r="I1886" s="5"/>
      <c r="J1886" s="5">
        <f>13.5*1000</f>
        <v>13500</v>
      </c>
      <c r="K1886" s="5"/>
      <c r="L1886" s="5">
        <v>3.24</v>
      </c>
      <c r="M1886" s="2" t="s">
        <v>571</v>
      </c>
      <c r="N1886" s="5"/>
      <c r="O1886" s="5"/>
      <c r="P1886" s="5"/>
      <c r="R1886" s="5"/>
      <c r="S1886" s="5"/>
      <c r="T1886" s="2">
        <v>2.1</v>
      </c>
      <c r="U1886" s="2" t="str">
        <f t="shared" ref="U1886:U1891" si="64">IF(T1886&lt;=1, "1",IF(AND(T1886&gt;1,T1886&lt;4), "2-3", "+4"))</f>
        <v>2-3</v>
      </c>
      <c r="V1886" s="5"/>
      <c r="W1886" s="6" t="s">
        <v>2083</v>
      </c>
    </row>
    <row r="1887" spans="1:23" x14ac:dyDescent="0.15">
      <c r="A1887" s="2" t="s">
        <v>299</v>
      </c>
      <c r="B1887" s="2" t="s">
        <v>3939</v>
      </c>
      <c r="C1887" s="2" t="s">
        <v>3518</v>
      </c>
      <c r="D1887" s="2" t="s">
        <v>630</v>
      </c>
      <c r="E1887" s="1"/>
      <c r="F1887" s="2" t="s">
        <v>374</v>
      </c>
      <c r="G1887" s="2" t="s">
        <v>374</v>
      </c>
      <c r="H1887" s="2" t="str">
        <f t="shared" si="63"/>
        <v>C</v>
      </c>
      <c r="I1887" s="5"/>
      <c r="J1887" s="5"/>
      <c r="K1887" s="5"/>
      <c r="L1887" s="7">
        <v>4.8</v>
      </c>
      <c r="M1887" s="2" t="s">
        <v>571</v>
      </c>
      <c r="N1887" s="5"/>
      <c r="O1887" s="7"/>
      <c r="P1887" s="5"/>
      <c r="R1887" s="5"/>
      <c r="S1887" s="5"/>
      <c r="T1887" s="9">
        <v>5</v>
      </c>
      <c r="U1887" s="2" t="str">
        <f t="shared" si="64"/>
        <v>+4</v>
      </c>
      <c r="V1887" s="5"/>
      <c r="W1887" s="6" t="s">
        <v>2727</v>
      </c>
    </row>
    <row r="1888" spans="1:23" x14ac:dyDescent="0.15">
      <c r="A1888" s="2" t="s">
        <v>299</v>
      </c>
      <c r="B1888" s="2" t="s">
        <v>3939</v>
      </c>
      <c r="C1888" s="2" t="s">
        <v>3518</v>
      </c>
      <c r="D1888" s="2" t="s">
        <v>630</v>
      </c>
      <c r="E1888" s="1"/>
      <c r="F1888" s="2" t="s">
        <v>301</v>
      </c>
      <c r="H1888" s="2" t="str">
        <f t="shared" si="63"/>
        <v>W</v>
      </c>
      <c r="I1888" s="5">
        <v>37</v>
      </c>
      <c r="J1888" s="5">
        <v>8800</v>
      </c>
      <c r="K1888" s="5"/>
      <c r="L1888" s="7">
        <v>3.2</v>
      </c>
      <c r="M1888" s="2" t="s">
        <v>571</v>
      </c>
      <c r="N1888" s="7"/>
      <c r="O1888" s="5"/>
      <c r="P1888" s="5">
        <v>36.200000000000003</v>
      </c>
      <c r="Q1888" s="2" t="s">
        <v>18</v>
      </c>
      <c r="R1888" s="5">
        <v>115.84</v>
      </c>
      <c r="S1888" s="5">
        <v>1.32</v>
      </c>
      <c r="T1888" s="9">
        <v>2.4</v>
      </c>
      <c r="U1888" s="2" t="str">
        <f t="shared" si="64"/>
        <v>2-3</v>
      </c>
      <c r="V1888" s="5">
        <f>S1888*T1888</f>
        <v>3.1680000000000001</v>
      </c>
      <c r="W1888" s="6" t="s">
        <v>2622</v>
      </c>
    </row>
    <row r="1889" spans="1:23" x14ac:dyDescent="0.15">
      <c r="A1889" s="2" t="s">
        <v>299</v>
      </c>
      <c r="B1889" s="2" t="s">
        <v>3939</v>
      </c>
      <c r="C1889" s="2" t="s">
        <v>3518</v>
      </c>
      <c r="D1889" s="2" t="s">
        <v>630</v>
      </c>
      <c r="E1889" s="1"/>
      <c r="F1889" s="2" t="s">
        <v>301</v>
      </c>
      <c r="G1889" s="2">
        <v>-16.100000000000001</v>
      </c>
      <c r="H1889" s="2" t="str">
        <f t="shared" si="63"/>
        <v>W</v>
      </c>
      <c r="I1889" s="5">
        <v>36.700000000000003</v>
      </c>
      <c r="J1889" s="5">
        <v>9400</v>
      </c>
      <c r="K1889" s="5">
        <f>MEDIAN(20,23)</f>
        <v>21.5</v>
      </c>
      <c r="L1889" s="7">
        <v>3.2</v>
      </c>
      <c r="M1889" s="2" t="s">
        <v>571</v>
      </c>
      <c r="N1889" s="7"/>
      <c r="O1889" s="5">
        <f>MEDIAN(32,36)</f>
        <v>34</v>
      </c>
      <c r="P1889" s="5">
        <v>36.200000000000003</v>
      </c>
      <c r="Q1889" s="2" t="s">
        <v>18</v>
      </c>
      <c r="R1889" s="5">
        <v>115.84</v>
      </c>
      <c r="S1889" s="5">
        <v>1.232</v>
      </c>
      <c r="T1889" s="7">
        <v>2.4</v>
      </c>
      <c r="U1889" s="2" t="str">
        <f t="shared" si="64"/>
        <v>2-3</v>
      </c>
      <c r="V1889" s="5">
        <f>S1889*T1889</f>
        <v>2.9567999999999999</v>
      </c>
      <c r="W1889" s="6" t="s">
        <v>2625</v>
      </c>
    </row>
    <row r="1890" spans="1:23" x14ac:dyDescent="0.15">
      <c r="A1890" s="2" t="s">
        <v>299</v>
      </c>
      <c r="B1890" s="2" t="s">
        <v>3939</v>
      </c>
      <c r="C1890" s="2" t="s">
        <v>3518</v>
      </c>
      <c r="D1890" s="2" t="s">
        <v>630</v>
      </c>
      <c r="E1890" s="1"/>
      <c r="F1890" s="2" t="s">
        <v>301</v>
      </c>
      <c r="H1890" s="2" t="str">
        <f t="shared" si="63"/>
        <v>W</v>
      </c>
      <c r="I1890" s="5">
        <v>37</v>
      </c>
      <c r="J1890" s="5">
        <v>8800</v>
      </c>
      <c r="K1890" s="7">
        <f>MEDIAN(17,22)</f>
        <v>19.5</v>
      </c>
      <c r="L1890" s="5">
        <v>3.2</v>
      </c>
      <c r="M1890" s="2" t="s">
        <v>571</v>
      </c>
      <c r="N1890" s="5"/>
      <c r="O1890" s="5"/>
      <c r="P1890" s="5">
        <v>36.200000000000003</v>
      </c>
      <c r="Q1890" s="2" t="s">
        <v>18</v>
      </c>
      <c r="R1890" s="5">
        <v>115.84</v>
      </c>
      <c r="S1890" s="5">
        <v>1.32</v>
      </c>
      <c r="T1890" s="2">
        <v>2.4</v>
      </c>
      <c r="U1890" s="2" t="str">
        <f t="shared" si="64"/>
        <v>2-3</v>
      </c>
      <c r="V1890" s="5">
        <f>S1890*T1890</f>
        <v>3.1680000000000001</v>
      </c>
      <c r="W1890" s="6" t="s">
        <v>2619</v>
      </c>
    </row>
    <row r="1891" spans="1:23" x14ac:dyDescent="0.15">
      <c r="A1891" s="2" t="s">
        <v>299</v>
      </c>
      <c r="B1891" s="2" t="s">
        <v>3939</v>
      </c>
      <c r="C1891" s="2" t="s">
        <v>3518</v>
      </c>
      <c r="D1891" s="2" t="s">
        <v>630</v>
      </c>
      <c r="E1891" s="1"/>
      <c r="F1891" s="2" t="s">
        <v>301</v>
      </c>
      <c r="G1891" s="2">
        <v>-16</v>
      </c>
      <c r="H1891" s="2" t="str">
        <f t="shared" si="63"/>
        <v>W</v>
      </c>
      <c r="I1891" s="5"/>
      <c r="J1891" s="5"/>
      <c r="K1891" s="5"/>
      <c r="L1891" s="5">
        <v>3.2</v>
      </c>
      <c r="M1891" s="2" t="s">
        <v>571</v>
      </c>
      <c r="N1891" s="5"/>
      <c r="O1891" s="5"/>
      <c r="P1891" s="5">
        <v>36.200000000000003</v>
      </c>
      <c r="Q1891" s="2" t="s">
        <v>18</v>
      </c>
      <c r="R1891" s="5">
        <v>115.2</v>
      </c>
      <c r="S1891" s="5"/>
      <c r="T1891" s="2">
        <v>2.4500000000000002</v>
      </c>
      <c r="U1891" s="2" t="str">
        <f t="shared" si="64"/>
        <v>2-3</v>
      </c>
      <c r="V1891" s="5"/>
      <c r="W1891" s="6" t="s">
        <v>2082</v>
      </c>
    </row>
    <row r="1892" spans="1:23" x14ac:dyDescent="0.15">
      <c r="A1892" s="2" t="s">
        <v>299</v>
      </c>
      <c r="B1892" s="2" t="s">
        <v>3939</v>
      </c>
      <c r="C1892" s="2" t="s">
        <v>3518</v>
      </c>
      <c r="D1892" s="2" t="s">
        <v>630</v>
      </c>
      <c r="E1892" s="1"/>
      <c r="F1892" s="2" t="s">
        <v>374</v>
      </c>
      <c r="G1892" s="2" t="s">
        <v>374</v>
      </c>
      <c r="H1892" s="2" t="str">
        <f t="shared" si="63"/>
        <v>C</v>
      </c>
      <c r="I1892" s="5"/>
      <c r="J1892" s="5">
        <v>13500</v>
      </c>
      <c r="K1892" s="5"/>
      <c r="L1892" s="7">
        <v>3.67</v>
      </c>
      <c r="M1892" s="2" t="s">
        <v>571</v>
      </c>
      <c r="N1892" s="5">
        <f>MEDIAN(42.8,47.5)</f>
        <v>45.15</v>
      </c>
      <c r="O1892" s="5">
        <f>MEDIAN(42.8,47.5)</f>
        <v>45.15</v>
      </c>
      <c r="P1892" s="5">
        <v>45.76</v>
      </c>
      <c r="Q1892" s="2" t="s">
        <v>376</v>
      </c>
      <c r="R1892" s="5">
        <v>167.92</v>
      </c>
      <c r="S1892" s="5">
        <v>1.24</v>
      </c>
      <c r="T1892" s="9" t="s">
        <v>399</v>
      </c>
      <c r="U1892" s="9"/>
      <c r="V1892" s="5"/>
      <c r="W1892" s="6" t="s">
        <v>2728</v>
      </c>
    </row>
    <row r="1893" spans="1:23" x14ac:dyDescent="0.15">
      <c r="A1893" s="2" t="s">
        <v>299</v>
      </c>
      <c r="B1893" s="2" t="s">
        <v>3939</v>
      </c>
      <c r="C1893" s="2" t="s">
        <v>1018</v>
      </c>
      <c r="D1893" s="2" t="s">
        <v>631</v>
      </c>
      <c r="E1893" s="1"/>
      <c r="F1893" s="2" t="s">
        <v>1918</v>
      </c>
      <c r="G1893" s="2" t="s">
        <v>374</v>
      </c>
      <c r="H1893" s="2" t="str">
        <f t="shared" si="63"/>
        <v>C</v>
      </c>
      <c r="I1893" s="5">
        <v>50</v>
      </c>
      <c r="J1893" s="5">
        <v>20500</v>
      </c>
      <c r="K1893" s="5"/>
      <c r="L1893" s="5">
        <v>18.670000000000002</v>
      </c>
      <c r="M1893" s="2" t="s">
        <v>571</v>
      </c>
      <c r="N1893" s="5"/>
      <c r="O1893" s="5"/>
      <c r="P1893" s="5"/>
      <c r="R1893" s="5"/>
      <c r="S1893" s="5"/>
      <c r="T1893" s="2" t="s">
        <v>399</v>
      </c>
      <c r="V1893" s="5"/>
      <c r="W1893" s="6" t="s">
        <v>2724</v>
      </c>
    </row>
    <row r="1894" spans="1:23" x14ac:dyDescent="0.15">
      <c r="A1894" s="2" t="s">
        <v>299</v>
      </c>
      <c r="B1894" s="2" t="s">
        <v>3939</v>
      </c>
      <c r="C1894" s="2" t="s">
        <v>1018</v>
      </c>
      <c r="D1894" s="2" t="s">
        <v>631</v>
      </c>
      <c r="E1894" s="1"/>
      <c r="F1894" s="2" t="s">
        <v>302</v>
      </c>
      <c r="G1894" s="2">
        <v>18</v>
      </c>
      <c r="H1894" s="2" t="str">
        <f t="shared" si="63"/>
        <v>W</v>
      </c>
      <c r="I1894" s="5">
        <v>51</v>
      </c>
      <c r="J1894" s="5">
        <v>22400</v>
      </c>
      <c r="K1894" s="5"/>
      <c r="L1894" s="5">
        <v>17</v>
      </c>
      <c r="M1894" s="2" t="s">
        <v>571</v>
      </c>
      <c r="N1894" s="5">
        <v>44</v>
      </c>
      <c r="O1894" s="5">
        <v>41</v>
      </c>
      <c r="P1894" s="5">
        <f xml:space="preserve"> 1.435*N1894 + 1.607*O1894 - 84.568</f>
        <v>44.458999999999989</v>
      </c>
      <c r="Q1894" s="2" t="s">
        <v>376</v>
      </c>
      <c r="R1894" s="5">
        <f>P1894*L1894</f>
        <v>755.80299999999977</v>
      </c>
      <c r="S1894" s="5">
        <f>(R1894/J1894)*100</f>
        <v>3.3741205357142845</v>
      </c>
      <c r="V1894" s="5"/>
      <c r="W1894" s="6" t="s">
        <v>2084</v>
      </c>
    </row>
    <row r="1895" spans="1:23" x14ac:dyDescent="0.15">
      <c r="A1895" s="2" t="s">
        <v>299</v>
      </c>
      <c r="B1895" s="2" t="s">
        <v>3939</v>
      </c>
      <c r="C1895" s="2" t="s">
        <v>1018</v>
      </c>
      <c r="D1895" s="2" t="s">
        <v>631</v>
      </c>
      <c r="E1895" s="1"/>
      <c r="F1895" s="2" t="s">
        <v>374</v>
      </c>
      <c r="G1895" s="2" t="s">
        <v>374</v>
      </c>
      <c r="H1895" s="2" t="str">
        <f t="shared" si="63"/>
        <v>C</v>
      </c>
      <c r="I1895" s="5">
        <v>48.08</v>
      </c>
      <c r="J1895" s="5">
        <v>31000</v>
      </c>
      <c r="K1895" s="7"/>
      <c r="L1895" s="5">
        <v>6.75</v>
      </c>
      <c r="M1895" s="2" t="s">
        <v>571</v>
      </c>
      <c r="N1895" s="5">
        <v>50.29</v>
      </c>
      <c r="O1895" s="5">
        <v>49.62</v>
      </c>
      <c r="P1895" s="5">
        <v>53.4</v>
      </c>
      <c r="Q1895" s="2" t="s">
        <v>18</v>
      </c>
      <c r="R1895" s="5">
        <v>360.45</v>
      </c>
      <c r="S1895" s="5">
        <v>1.1599999999999999</v>
      </c>
      <c r="T1895" s="2" t="s">
        <v>122</v>
      </c>
      <c r="V1895" s="5"/>
      <c r="W1895" s="6" t="s">
        <v>2723</v>
      </c>
    </row>
    <row r="1896" spans="1:23" x14ac:dyDescent="0.15">
      <c r="A1896" s="2" t="s">
        <v>299</v>
      </c>
      <c r="B1896" s="2" t="s">
        <v>3939</v>
      </c>
      <c r="C1896" s="2" t="s">
        <v>1018</v>
      </c>
      <c r="D1896" s="2" t="s">
        <v>631</v>
      </c>
      <c r="E1896" s="1"/>
      <c r="F1896" s="2" t="s">
        <v>374</v>
      </c>
      <c r="G1896" s="2" t="s">
        <v>374</v>
      </c>
      <c r="H1896" s="2" t="str">
        <f t="shared" si="63"/>
        <v>C</v>
      </c>
      <c r="I1896" s="5">
        <f>(EXP((LN(J1896/0.0007247)/2.7778)))/10</f>
        <v>52.080573443914226</v>
      </c>
      <c r="J1896" s="5">
        <v>25500</v>
      </c>
      <c r="K1896" s="5">
        <v>6</v>
      </c>
      <c r="L1896" s="5">
        <v>24</v>
      </c>
      <c r="M1896" s="2" t="s">
        <v>571</v>
      </c>
      <c r="N1896" s="5">
        <v>44.03</v>
      </c>
      <c r="O1896" s="5">
        <v>41.35</v>
      </c>
      <c r="P1896" s="5">
        <v>45.05</v>
      </c>
      <c r="Q1896" s="2" t="s">
        <v>18</v>
      </c>
      <c r="R1896" s="5">
        <v>1081.3</v>
      </c>
      <c r="S1896" s="5">
        <v>4.24</v>
      </c>
      <c r="V1896" s="5"/>
      <c r="W1896" s="6" t="s">
        <v>3246</v>
      </c>
    </row>
    <row r="1897" spans="1:23" x14ac:dyDescent="0.15">
      <c r="A1897" s="2" t="s">
        <v>299</v>
      </c>
      <c r="B1897" s="2" t="s">
        <v>3939</v>
      </c>
      <c r="C1897" s="2" t="s">
        <v>1018</v>
      </c>
      <c r="D1897" s="2" t="s">
        <v>631</v>
      </c>
      <c r="E1897" s="1"/>
      <c r="F1897" s="2" t="s">
        <v>374</v>
      </c>
      <c r="G1897" s="2" t="s">
        <v>374</v>
      </c>
      <c r="H1897" s="2" t="str">
        <f t="shared" si="63"/>
        <v>C</v>
      </c>
      <c r="I1897" s="5">
        <f>(EXP((LN(J1897/0.0007247)/2.7778)))/10</f>
        <v>54.885425574830357</v>
      </c>
      <c r="J1897" s="5">
        <v>29500</v>
      </c>
      <c r="K1897" s="7"/>
      <c r="L1897" s="7">
        <v>24.5</v>
      </c>
      <c r="M1897" s="2" t="s">
        <v>571</v>
      </c>
      <c r="N1897" s="5">
        <v>46.78</v>
      </c>
      <c r="O1897" s="5">
        <v>46.78</v>
      </c>
      <c r="P1897" s="5">
        <v>58</v>
      </c>
      <c r="Q1897" s="2" t="s">
        <v>18</v>
      </c>
      <c r="R1897" s="5">
        <v>1421</v>
      </c>
      <c r="S1897" s="5">
        <v>4.82</v>
      </c>
      <c r="T1897" s="9">
        <f>MEDIAN(7,9)</f>
        <v>8</v>
      </c>
      <c r="U1897" s="2" t="str">
        <f>IF(T1897&lt;=1, "1",IF(AND(T1897&gt;1,T1897&lt;4), "2-3", "+4"))</f>
        <v>+4</v>
      </c>
      <c r="V1897" s="5">
        <f>S1897*T1897</f>
        <v>38.56</v>
      </c>
      <c r="W1897" s="6" t="s">
        <v>2725</v>
      </c>
    </row>
    <row r="1898" spans="1:23" x14ac:dyDescent="0.15">
      <c r="A1898" s="2" t="s">
        <v>299</v>
      </c>
      <c r="B1898" s="2" t="s">
        <v>3939</v>
      </c>
      <c r="C1898" s="2" t="s">
        <v>1018</v>
      </c>
      <c r="D1898" s="2" t="s">
        <v>631</v>
      </c>
      <c r="E1898" s="1"/>
      <c r="F1898" s="2" t="s">
        <v>374</v>
      </c>
      <c r="G1898" s="2" t="s">
        <v>374</v>
      </c>
      <c r="H1898" s="2" t="str">
        <f t="shared" si="63"/>
        <v>C</v>
      </c>
      <c r="I1898" s="5"/>
      <c r="J1898" s="5"/>
      <c r="K1898" s="5"/>
      <c r="L1898" s="5">
        <v>12</v>
      </c>
      <c r="M1898" s="2" t="s">
        <v>571</v>
      </c>
      <c r="N1898" s="5"/>
      <c r="O1898" s="5"/>
      <c r="P1898" s="5"/>
      <c r="R1898" s="5"/>
      <c r="S1898" s="5"/>
      <c r="T1898" s="2">
        <f>MEDIAN(4,5)</f>
        <v>4.5</v>
      </c>
      <c r="U1898" s="2" t="str">
        <f>IF(T1898&lt;=1, "1",IF(AND(T1898&gt;1,T1898&lt;4), "2-3", "+4"))</f>
        <v>+4</v>
      </c>
      <c r="V1898" s="5"/>
      <c r="W1898" s="6" t="s">
        <v>2612</v>
      </c>
    </row>
    <row r="1899" spans="1:23" x14ac:dyDescent="0.15">
      <c r="A1899" s="2" t="s">
        <v>299</v>
      </c>
      <c r="B1899" s="2" t="s">
        <v>3939</v>
      </c>
      <c r="C1899" s="2" t="s">
        <v>1018</v>
      </c>
      <c r="D1899" s="2" t="s">
        <v>631</v>
      </c>
      <c r="E1899" s="1"/>
      <c r="F1899" s="2" t="s">
        <v>3557</v>
      </c>
      <c r="G1899" s="2">
        <v>25.17</v>
      </c>
      <c r="H1899" s="2" t="str">
        <f t="shared" si="63"/>
        <v>W</v>
      </c>
      <c r="I1899" s="5"/>
      <c r="J1899" s="5"/>
      <c r="K1899" s="5">
        <v>15</v>
      </c>
      <c r="L1899" s="5"/>
      <c r="N1899" s="5"/>
      <c r="O1899" s="5"/>
      <c r="P1899" s="5"/>
      <c r="R1899" s="5"/>
      <c r="S1899" s="5"/>
      <c r="V1899" s="5"/>
      <c r="W1899" s="6" t="s">
        <v>4058</v>
      </c>
    </row>
    <row r="1900" spans="1:23" x14ac:dyDescent="0.15">
      <c r="A1900" s="2" t="s">
        <v>299</v>
      </c>
      <c r="B1900" s="2" t="s">
        <v>3939</v>
      </c>
      <c r="C1900" s="2" t="s">
        <v>1018</v>
      </c>
      <c r="D1900" s="2" t="s">
        <v>631</v>
      </c>
      <c r="E1900" s="1"/>
      <c r="F1900" s="2" t="s">
        <v>374</v>
      </c>
      <c r="G1900" s="2" t="s">
        <v>374</v>
      </c>
      <c r="H1900" s="2" t="str">
        <f t="shared" si="63"/>
        <v>C</v>
      </c>
      <c r="I1900" s="5"/>
      <c r="J1900" s="5"/>
      <c r="K1900" s="5">
        <v>5</v>
      </c>
      <c r="L1900" s="5"/>
      <c r="N1900" s="5"/>
      <c r="O1900" s="5"/>
      <c r="P1900" s="5"/>
      <c r="R1900" s="5"/>
      <c r="S1900" s="5"/>
      <c r="V1900" s="5"/>
      <c r="W1900" s="6" t="s">
        <v>4058</v>
      </c>
    </row>
    <row r="1901" spans="1:23" x14ac:dyDescent="0.15">
      <c r="A1901" s="2" t="s">
        <v>299</v>
      </c>
      <c r="B1901" s="2" t="s">
        <v>3939</v>
      </c>
      <c r="C1901" s="2" t="s">
        <v>1018</v>
      </c>
      <c r="D1901" s="2" t="s">
        <v>631</v>
      </c>
      <c r="E1901" s="1"/>
      <c r="F1901" s="2" t="s">
        <v>374</v>
      </c>
      <c r="G1901" s="2" t="s">
        <v>374</v>
      </c>
      <c r="H1901" s="2" t="str">
        <f t="shared" si="63"/>
        <v>C</v>
      </c>
      <c r="I1901" s="5">
        <v>50.3</v>
      </c>
      <c r="J1901" s="5">
        <v>27200</v>
      </c>
      <c r="K1901" s="5"/>
      <c r="L1901" s="7">
        <v>25</v>
      </c>
      <c r="M1901" s="2" t="s">
        <v>571</v>
      </c>
      <c r="N1901" s="7"/>
      <c r="O1901" s="5">
        <f>(P1901-1.9135)/1.0376</f>
        <v>31.887528912875865</v>
      </c>
      <c r="P1901" s="5">
        <v>35</v>
      </c>
      <c r="Q1901" s="2" t="s">
        <v>18</v>
      </c>
      <c r="R1901" s="5">
        <v>875</v>
      </c>
      <c r="S1901" s="5">
        <v>3.22</v>
      </c>
      <c r="T1901" s="9"/>
      <c r="U1901" s="9"/>
      <c r="V1901" s="5"/>
      <c r="W1901" s="6" t="s">
        <v>2726</v>
      </c>
    </row>
    <row r="1902" spans="1:23" x14ac:dyDescent="0.15">
      <c r="A1902" s="2" t="s">
        <v>299</v>
      </c>
      <c r="B1902" s="2" t="s">
        <v>3939</v>
      </c>
      <c r="C1902" s="2" t="s">
        <v>1018</v>
      </c>
      <c r="D1902" s="2" t="s">
        <v>631</v>
      </c>
      <c r="E1902" s="1"/>
      <c r="F1902" s="2" t="s">
        <v>374</v>
      </c>
      <c r="G1902" s="2" t="s">
        <v>374</v>
      </c>
      <c r="H1902" s="2" t="str">
        <f t="shared" si="63"/>
        <v>C</v>
      </c>
      <c r="I1902" s="5">
        <v>54</v>
      </c>
      <c r="J1902" s="5">
        <v>25500</v>
      </c>
      <c r="L1902" s="5">
        <v>30</v>
      </c>
      <c r="M1902" s="2" t="s">
        <v>571</v>
      </c>
      <c r="N1902" s="7">
        <v>40</v>
      </c>
      <c r="O1902" s="5">
        <v>40</v>
      </c>
      <c r="P1902" s="5">
        <v>42</v>
      </c>
      <c r="Q1902" s="2" t="s">
        <v>18</v>
      </c>
      <c r="R1902" s="5">
        <v>1260</v>
      </c>
      <c r="S1902" s="5">
        <v>4.9400000000000004</v>
      </c>
      <c r="T1902" s="9"/>
      <c r="U1902" s="9"/>
      <c r="V1902" s="5"/>
      <c r="W1902" s="6" t="s">
        <v>4050</v>
      </c>
    </row>
    <row r="1903" spans="1:23" x14ac:dyDescent="0.15">
      <c r="A1903" s="1" t="s">
        <v>299</v>
      </c>
      <c r="B1903" s="2" t="s">
        <v>3939</v>
      </c>
      <c r="C1903" s="2" t="s">
        <v>1020</v>
      </c>
      <c r="D1903" s="1" t="s">
        <v>5141</v>
      </c>
      <c r="E1903" s="1"/>
      <c r="F1903" s="1" t="s">
        <v>374</v>
      </c>
      <c r="G1903" s="1" t="s">
        <v>374</v>
      </c>
      <c r="H1903" s="2" t="str">
        <f t="shared" si="63"/>
        <v>C</v>
      </c>
      <c r="I1903" s="8">
        <v>71</v>
      </c>
      <c r="J1903" s="8">
        <v>75000</v>
      </c>
      <c r="K1903" s="8">
        <v>18</v>
      </c>
      <c r="L1903" s="8">
        <v>7.5</v>
      </c>
      <c r="M1903" s="1" t="s">
        <v>571</v>
      </c>
      <c r="N1903" s="8"/>
      <c r="O1903" s="8"/>
      <c r="P1903" s="8"/>
      <c r="Q1903" s="1"/>
      <c r="R1903" s="8"/>
      <c r="S1903" s="8"/>
      <c r="T1903" s="1">
        <v>2</v>
      </c>
      <c r="U1903" s="2" t="str">
        <f>IF(T1903&lt;=1, "1",IF(AND(T1903&gt;1,T1903&lt;4), "2-3", "+4"))</f>
        <v>2-3</v>
      </c>
      <c r="V1903" s="8"/>
      <c r="W1903" s="6" t="s">
        <v>3623</v>
      </c>
    </row>
    <row r="1904" spans="1:23" x14ac:dyDescent="0.15">
      <c r="A1904" s="2" t="s">
        <v>299</v>
      </c>
      <c r="B1904" s="2" t="s">
        <v>3939</v>
      </c>
      <c r="C1904" s="2" t="s">
        <v>1020</v>
      </c>
      <c r="D1904" s="2" t="s">
        <v>5143</v>
      </c>
      <c r="E1904" s="1" t="s">
        <v>5142</v>
      </c>
      <c r="F1904" s="2" t="s">
        <v>29</v>
      </c>
      <c r="H1904" s="2" t="str">
        <f t="shared" si="63"/>
        <v>W</v>
      </c>
      <c r="I1904" s="5"/>
      <c r="J1904" s="5"/>
      <c r="K1904" s="5"/>
      <c r="L1904" s="5"/>
      <c r="M1904" s="2" t="s">
        <v>571</v>
      </c>
      <c r="N1904" s="5"/>
      <c r="O1904" s="5"/>
      <c r="P1904" s="5"/>
      <c r="R1904" s="5"/>
      <c r="S1904" s="5"/>
      <c r="V1904" s="5"/>
      <c r="W1904" s="6" t="s">
        <v>838</v>
      </c>
    </row>
    <row r="1905" spans="1:24" x14ac:dyDescent="0.15">
      <c r="A1905" s="2" t="s">
        <v>299</v>
      </c>
      <c r="B1905" s="2" t="s">
        <v>3939</v>
      </c>
      <c r="C1905" s="2" t="s">
        <v>1020</v>
      </c>
      <c r="D1905" s="2" t="s">
        <v>1452</v>
      </c>
      <c r="E1905" s="1"/>
      <c r="F1905" s="2" t="s">
        <v>374</v>
      </c>
      <c r="G1905" s="2" t="s">
        <v>374</v>
      </c>
      <c r="H1905" s="2" t="str">
        <f t="shared" si="63"/>
        <v>C</v>
      </c>
      <c r="I1905" s="5">
        <v>28.9</v>
      </c>
      <c r="J1905" s="5">
        <v>4260</v>
      </c>
      <c r="K1905" s="5"/>
      <c r="L1905" s="7">
        <v>3.78</v>
      </c>
      <c r="M1905" s="7" t="s">
        <v>571</v>
      </c>
      <c r="N1905" s="5">
        <v>49</v>
      </c>
      <c r="O1905" s="7">
        <v>42</v>
      </c>
      <c r="P1905" s="5">
        <v>50.2</v>
      </c>
      <c r="Q1905" s="2" t="s">
        <v>18</v>
      </c>
      <c r="R1905" s="5">
        <v>189.76</v>
      </c>
      <c r="S1905" s="5">
        <v>4.45</v>
      </c>
      <c r="T1905" s="9">
        <f>MEDIAN(2,5)</f>
        <v>3.5</v>
      </c>
      <c r="U1905" s="2" t="str">
        <f>IF(T1905&lt;=1, "1",IF(AND(T1905&gt;1,T1905&lt;4), "2-3", "+4"))</f>
        <v>2-3</v>
      </c>
      <c r="V1905" s="5">
        <f>S1905*T1905</f>
        <v>15.575000000000001</v>
      </c>
      <c r="W1905" s="6" t="s">
        <v>2713</v>
      </c>
    </row>
    <row r="1906" spans="1:24" x14ac:dyDescent="0.15">
      <c r="A1906" s="2" t="s">
        <v>299</v>
      </c>
      <c r="B1906" s="2" t="s">
        <v>3939</v>
      </c>
      <c r="C1906" s="2" t="s">
        <v>1020</v>
      </c>
      <c r="D1906" s="2" t="s">
        <v>1452</v>
      </c>
      <c r="E1906" s="1"/>
      <c r="F1906" s="2" t="s">
        <v>374</v>
      </c>
      <c r="G1906" s="2" t="s">
        <v>374</v>
      </c>
      <c r="H1906" s="2" t="str">
        <f t="shared" si="63"/>
        <v>C</v>
      </c>
      <c r="I1906" s="5">
        <v>26</v>
      </c>
      <c r="J1906" s="5">
        <v>3200</v>
      </c>
      <c r="K1906" s="5"/>
      <c r="L1906" s="7">
        <f>MEDIAN(4,5)</f>
        <v>4.5</v>
      </c>
      <c r="M1906" s="7" t="s">
        <v>571</v>
      </c>
      <c r="N1906" s="5">
        <v>44.16</v>
      </c>
      <c r="O1906" s="5">
        <v>36.85</v>
      </c>
      <c r="P1906" s="5">
        <v>36.17</v>
      </c>
      <c r="Q1906" s="2" t="s">
        <v>18</v>
      </c>
      <c r="R1906" s="5">
        <v>162.75</v>
      </c>
      <c r="S1906" s="5">
        <v>5.09</v>
      </c>
      <c r="V1906" s="5"/>
      <c r="W1906" s="6" t="s">
        <v>3084</v>
      </c>
    </row>
    <row r="1907" spans="1:24" x14ac:dyDescent="0.15">
      <c r="A1907" s="2" t="s">
        <v>299</v>
      </c>
      <c r="B1907" s="2" t="s">
        <v>3939</v>
      </c>
      <c r="C1907" s="2" t="s">
        <v>1020</v>
      </c>
      <c r="D1907" s="2" t="s">
        <v>1452</v>
      </c>
      <c r="E1907" s="1"/>
      <c r="F1907" s="2" t="s">
        <v>374</v>
      </c>
      <c r="G1907" s="2" t="s">
        <v>374</v>
      </c>
      <c r="H1907" s="2" t="str">
        <f t="shared" si="63"/>
        <v>C</v>
      </c>
      <c r="I1907" s="5">
        <v>22</v>
      </c>
      <c r="J1907" s="5">
        <v>2155</v>
      </c>
      <c r="K1907" s="5"/>
      <c r="L1907" s="7">
        <v>3.3</v>
      </c>
      <c r="M1907" s="7" t="s">
        <v>571</v>
      </c>
      <c r="N1907" s="5">
        <v>38.1</v>
      </c>
      <c r="O1907" s="7">
        <v>38.1</v>
      </c>
      <c r="P1907" s="5">
        <v>25</v>
      </c>
      <c r="Q1907" s="2" t="s">
        <v>18</v>
      </c>
      <c r="R1907" s="5">
        <v>82.5</v>
      </c>
      <c r="S1907" s="5">
        <v>3.83</v>
      </c>
      <c r="T1907" s="9" t="s">
        <v>861</v>
      </c>
      <c r="U1907" s="9"/>
      <c r="V1907" s="5"/>
      <c r="W1907" s="6" t="s">
        <v>1921</v>
      </c>
    </row>
    <row r="1908" spans="1:24" x14ac:dyDescent="0.15">
      <c r="A1908" s="2" t="s">
        <v>299</v>
      </c>
      <c r="B1908" s="2" t="s">
        <v>3939</v>
      </c>
      <c r="C1908" s="2" t="s">
        <v>1020</v>
      </c>
      <c r="D1908" s="2" t="s">
        <v>1452</v>
      </c>
      <c r="E1908" s="1"/>
      <c r="F1908" s="2" t="s">
        <v>26</v>
      </c>
      <c r="G1908" s="2" t="s">
        <v>374</v>
      </c>
      <c r="H1908" s="2" t="str">
        <f t="shared" ref="H1908:H1939" si="65">IF(G1908="captive","C","W")</f>
        <v>C</v>
      </c>
      <c r="I1908" s="5"/>
      <c r="J1908" s="5"/>
      <c r="K1908" s="5"/>
      <c r="L1908" s="5">
        <v>4.17</v>
      </c>
      <c r="M1908" s="7" t="s">
        <v>571</v>
      </c>
      <c r="N1908" s="5">
        <v>48.14</v>
      </c>
      <c r="O1908" s="5">
        <v>44.77</v>
      </c>
      <c r="P1908" s="5">
        <v>59.26</v>
      </c>
      <c r="Q1908" s="2" t="s">
        <v>18</v>
      </c>
      <c r="R1908" s="5">
        <v>246.91</v>
      </c>
      <c r="S1908" s="5"/>
      <c r="V1908" s="5"/>
      <c r="W1908" s="6" t="s">
        <v>3085</v>
      </c>
    </row>
    <row r="1909" spans="1:24" x14ac:dyDescent="0.15">
      <c r="A1909" s="2" t="s">
        <v>299</v>
      </c>
      <c r="B1909" s="2" t="s">
        <v>3939</v>
      </c>
      <c r="C1909" s="2" t="s">
        <v>1020</v>
      </c>
      <c r="D1909" s="2" t="s">
        <v>1452</v>
      </c>
      <c r="E1909" s="1"/>
      <c r="F1909" s="2" t="s">
        <v>58</v>
      </c>
      <c r="G1909" s="2">
        <v>7</v>
      </c>
      <c r="H1909" s="2" t="str">
        <f t="shared" si="65"/>
        <v>W</v>
      </c>
      <c r="I1909" s="5">
        <v>30.375</v>
      </c>
      <c r="J1909" s="5">
        <v>5016.66</v>
      </c>
      <c r="K1909" s="5"/>
      <c r="L1909" s="5">
        <v>3.6</v>
      </c>
      <c r="M1909" s="2" t="s">
        <v>571</v>
      </c>
      <c r="N1909" s="5">
        <v>46.98</v>
      </c>
      <c r="O1909" s="5">
        <v>41.6</v>
      </c>
      <c r="P1909" s="5">
        <f xml:space="preserve"> 0.754*N1909 + 0.88*O1909- 29.002</f>
        <v>43.028920000000014</v>
      </c>
      <c r="Q1909" s="2" t="s">
        <v>376</v>
      </c>
      <c r="R1909" s="5">
        <f>P1909*L1909</f>
        <v>154.90411200000005</v>
      </c>
      <c r="S1909" s="5">
        <f>(R1909/J1909)*100</f>
        <v>3.0877937113537706</v>
      </c>
      <c r="T1909" s="2">
        <v>2.91</v>
      </c>
      <c r="U1909" s="2" t="str">
        <f>IF(T1909&lt;=1, "1",IF(AND(T1909&gt;1,T1909&lt;4), "2-3", "+4"))</f>
        <v>2-3</v>
      </c>
      <c r="V1909" s="5">
        <f>S1909*T1909</f>
        <v>8.9854797000394733</v>
      </c>
      <c r="W1909" s="6" t="s">
        <v>2085</v>
      </c>
    </row>
    <row r="1910" spans="1:24" x14ac:dyDescent="0.15">
      <c r="A1910" s="2" t="s">
        <v>299</v>
      </c>
      <c r="B1910" s="2" t="s">
        <v>3939</v>
      </c>
      <c r="C1910" s="2" t="s">
        <v>1020</v>
      </c>
      <c r="D1910" s="2" t="s">
        <v>1452</v>
      </c>
      <c r="E1910" s="1"/>
      <c r="F1910" s="2" t="s">
        <v>58</v>
      </c>
      <c r="G1910" s="2">
        <v>7</v>
      </c>
      <c r="H1910" s="2" t="str">
        <f t="shared" si="65"/>
        <v>W</v>
      </c>
      <c r="I1910" s="5">
        <v>25.466000000000001</v>
      </c>
      <c r="J1910" s="5">
        <v>2996.66</v>
      </c>
      <c r="K1910" s="5"/>
      <c r="L1910" s="5">
        <v>3.7</v>
      </c>
      <c r="M1910" s="2" t="s">
        <v>571</v>
      </c>
      <c r="N1910" s="5">
        <v>42.49</v>
      </c>
      <c r="O1910" s="5">
        <v>37.83</v>
      </c>
      <c r="P1910" s="5">
        <f xml:space="preserve"> 0.754*N1910 + 0.88*O1910- 29.002</f>
        <v>36.325860000000006</v>
      </c>
      <c r="Q1910" s="2" t="s">
        <v>376</v>
      </c>
      <c r="R1910" s="5">
        <f>P1910*L1910</f>
        <v>134.40568200000004</v>
      </c>
      <c r="S1910" s="5">
        <f>(R1910/J1910)*100</f>
        <v>4.4851829036327127</v>
      </c>
      <c r="T1910" s="2">
        <v>2.5</v>
      </c>
      <c r="U1910" s="2" t="str">
        <f>IF(T1910&lt;=1, "1",IF(AND(T1910&gt;1,T1910&lt;4), "2-3", "+4"))</f>
        <v>2-3</v>
      </c>
      <c r="V1910" s="5">
        <f>S1910*T1910</f>
        <v>11.212957259081781</v>
      </c>
      <c r="W1910" s="6" t="s">
        <v>2085</v>
      </c>
    </row>
    <row r="1911" spans="1:24" ht="12.75" customHeight="1" x14ac:dyDescent="0.15">
      <c r="A1911" s="2" t="s">
        <v>299</v>
      </c>
      <c r="B1911" s="2" t="s">
        <v>3939</v>
      </c>
      <c r="C1911" s="2" t="s">
        <v>1020</v>
      </c>
      <c r="D1911" s="2" t="s">
        <v>1452</v>
      </c>
      <c r="E1911" s="1"/>
      <c r="F1911" s="2" t="s">
        <v>58</v>
      </c>
      <c r="G1911" s="2">
        <v>7</v>
      </c>
      <c r="H1911" s="2" t="str">
        <f t="shared" si="65"/>
        <v>W</v>
      </c>
      <c r="I1911" s="5">
        <v>36.450000000000003</v>
      </c>
      <c r="J1911" s="5">
        <v>8383.33</v>
      </c>
      <c r="K1911" s="5"/>
      <c r="L1911" s="5">
        <v>5.19</v>
      </c>
      <c r="M1911" s="2" t="s">
        <v>571</v>
      </c>
      <c r="N1911" s="5">
        <v>48.17</v>
      </c>
      <c r="O1911" s="5">
        <v>44.52</v>
      </c>
      <c r="P1911" s="5">
        <f xml:space="preserve"> 0.754*N1911 + 0.88*O1911- 29.002</f>
        <v>46.495780000000011</v>
      </c>
      <c r="Q1911" s="2" t="s">
        <v>376</v>
      </c>
      <c r="R1911" s="5">
        <f>P1911*L1911</f>
        <v>241.31309820000007</v>
      </c>
      <c r="S1911" s="5">
        <f>(R1911/J1911)*100</f>
        <v>2.8784874053627862</v>
      </c>
      <c r="T1911" s="2">
        <v>2.66</v>
      </c>
      <c r="U1911" s="2" t="str">
        <f>IF(T1911&lt;=1, "1",IF(AND(T1911&gt;1,T1911&lt;4), "2-3", "+4"))</f>
        <v>2-3</v>
      </c>
      <c r="V1911" s="5">
        <f>S1911*T1911</f>
        <v>7.6567764982650122</v>
      </c>
      <c r="W1911" s="6" t="s">
        <v>2085</v>
      </c>
    </row>
    <row r="1912" spans="1:24" ht="12.75" customHeight="1" x14ac:dyDescent="0.15">
      <c r="A1912" s="2" t="s">
        <v>299</v>
      </c>
      <c r="B1912" s="2" t="s">
        <v>3939</v>
      </c>
      <c r="C1912" s="2" t="s">
        <v>1020</v>
      </c>
      <c r="D1912" s="2" t="s">
        <v>1452</v>
      </c>
      <c r="E1912" s="1"/>
      <c r="F1912" s="2" t="s">
        <v>374</v>
      </c>
      <c r="G1912" s="2" t="s">
        <v>374</v>
      </c>
      <c r="H1912" s="2" t="str">
        <f t="shared" si="65"/>
        <v>C</v>
      </c>
      <c r="I1912" s="5"/>
      <c r="J1912" s="5"/>
      <c r="K1912" s="5"/>
      <c r="L1912" s="5">
        <f>MEDIAN(3,5)</f>
        <v>4</v>
      </c>
      <c r="M1912" s="2" t="s">
        <v>571</v>
      </c>
      <c r="N1912" s="5">
        <v>45</v>
      </c>
      <c r="O1912" s="5">
        <v>42</v>
      </c>
      <c r="P1912" s="5">
        <f>MEDIAN(35,50)</f>
        <v>42.5</v>
      </c>
      <c r="Q1912" s="2" t="s">
        <v>376</v>
      </c>
      <c r="R1912" s="5">
        <f>P1912*L1912</f>
        <v>170</v>
      </c>
      <c r="S1912" s="5"/>
      <c r="T1912" s="2">
        <f>MEDIAN(2,3)</f>
        <v>2.5</v>
      </c>
      <c r="U1912" s="2" t="str">
        <f>IF(T1912&lt;=1, "1",IF(AND(T1912&gt;1,T1912&lt;4), "2-3", "+4"))</f>
        <v>2-3</v>
      </c>
      <c r="V1912" s="5"/>
      <c r="W1912" s="6" t="s">
        <v>2159</v>
      </c>
    </row>
    <row r="1913" spans="1:24" x14ac:dyDescent="0.15">
      <c r="A1913" s="2" t="s">
        <v>299</v>
      </c>
      <c r="B1913" s="2" t="s">
        <v>3939</v>
      </c>
      <c r="C1913" s="2" t="s">
        <v>1020</v>
      </c>
      <c r="D1913" s="2" t="s">
        <v>1452</v>
      </c>
      <c r="E1913" s="1"/>
      <c r="F1913" s="2" t="s">
        <v>374</v>
      </c>
      <c r="G1913" s="2" t="s">
        <v>374</v>
      </c>
      <c r="H1913" s="2" t="str">
        <f t="shared" si="65"/>
        <v>C</v>
      </c>
      <c r="I1913" s="5"/>
      <c r="J1913" s="5"/>
      <c r="K1913" s="5"/>
      <c r="L1913" s="7">
        <f>MEDIAN(5,7)</f>
        <v>6</v>
      </c>
      <c r="M1913" s="7" t="s">
        <v>571</v>
      </c>
      <c r="N1913" s="5">
        <f>MEDIAN(43,48)</f>
        <v>45.5</v>
      </c>
      <c r="O1913" s="5"/>
      <c r="P1913" s="5">
        <f>MEDIAN(40,50)</f>
        <v>45</v>
      </c>
      <c r="Q1913" s="2" t="s">
        <v>18</v>
      </c>
      <c r="R1913" s="5">
        <f>P1913*L1913</f>
        <v>270</v>
      </c>
      <c r="S1913" s="5"/>
      <c r="V1913" s="5"/>
      <c r="W1913" s="6" t="s">
        <v>3086</v>
      </c>
    </row>
    <row r="1914" spans="1:24" x14ac:dyDescent="0.15">
      <c r="A1914" s="1" t="s">
        <v>299</v>
      </c>
      <c r="B1914" s="1" t="s">
        <v>3939</v>
      </c>
      <c r="C1914" s="1" t="s">
        <v>1020</v>
      </c>
      <c r="D1914" s="2" t="s">
        <v>1452</v>
      </c>
      <c r="E1914" s="1"/>
      <c r="F1914" s="1" t="s">
        <v>4002</v>
      </c>
      <c r="G1914" s="1">
        <v>4.7</v>
      </c>
      <c r="H1914" s="1" t="str">
        <f t="shared" si="65"/>
        <v>W</v>
      </c>
      <c r="I1914" s="8">
        <v>30.8</v>
      </c>
      <c r="J1914" s="8">
        <v>4380</v>
      </c>
      <c r="K1914" s="8"/>
      <c r="L1914" s="8"/>
      <c r="M1914" s="8" t="s">
        <v>571</v>
      </c>
      <c r="N1914" s="8">
        <v>48.73</v>
      </c>
      <c r="O1914" s="8">
        <v>43.45</v>
      </c>
      <c r="P1914" s="8">
        <v>45.975999999999999</v>
      </c>
      <c r="Q1914" s="1" t="s">
        <v>376</v>
      </c>
      <c r="R1914" s="8"/>
      <c r="S1914" s="8"/>
      <c r="T1914" s="1">
        <v>3</v>
      </c>
      <c r="U1914" s="2" t="str">
        <f>IF(T1914&lt;=1, "1",IF(AND(T1914&gt;1,T1914&lt;4), "2-3", "+4"))</f>
        <v>2-3</v>
      </c>
      <c r="V1914" s="8"/>
      <c r="W1914" s="3" t="s">
        <v>4009</v>
      </c>
      <c r="X1914" s="1"/>
    </row>
    <row r="1915" spans="1:24" x14ac:dyDescent="0.15">
      <c r="A1915" s="1" t="s">
        <v>299</v>
      </c>
      <c r="B1915" s="1" t="s">
        <v>3939</v>
      </c>
      <c r="C1915" s="1" t="s">
        <v>1020</v>
      </c>
      <c r="D1915" s="2" t="s">
        <v>1452</v>
      </c>
      <c r="E1915" s="1"/>
      <c r="F1915" s="1" t="s">
        <v>4003</v>
      </c>
      <c r="G1915" s="1">
        <v>-25</v>
      </c>
      <c r="H1915" s="1" t="str">
        <f t="shared" si="65"/>
        <v>W</v>
      </c>
      <c r="I1915" s="8">
        <v>25.5</v>
      </c>
      <c r="J1915" s="8">
        <v>2484</v>
      </c>
      <c r="K1915" s="8"/>
      <c r="L1915" s="8"/>
      <c r="M1915" s="8" t="s">
        <v>571</v>
      </c>
      <c r="N1915" s="8">
        <v>49.87</v>
      </c>
      <c r="O1915" s="8">
        <v>35.840000000000003</v>
      </c>
      <c r="P1915" s="8">
        <v>40.139000000000003</v>
      </c>
      <c r="Q1915" s="1" t="s">
        <v>376</v>
      </c>
      <c r="R1915" s="8"/>
      <c r="S1915" s="8"/>
      <c r="T1915" s="1"/>
      <c r="U1915" s="1"/>
      <c r="V1915" s="8"/>
      <c r="W1915" s="3" t="s">
        <v>4009</v>
      </c>
      <c r="X1915" s="1"/>
    </row>
    <row r="1916" spans="1:24" x14ac:dyDescent="0.15">
      <c r="A1916" s="2" t="s">
        <v>299</v>
      </c>
      <c r="B1916" s="2" t="s">
        <v>3939</v>
      </c>
      <c r="C1916" s="2" t="s">
        <v>1020</v>
      </c>
      <c r="D1916" s="2" t="s">
        <v>1452</v>
      </c>
      <c r="E1916" s="1"/>
      <c r="F1916" s="2" t="s">
        <v>219</v>
      </c>
      <c r="G1916" s="2" t="s">
        <v>374</v>
      </c>
      <c r="H1916" s="2" t="str">
        <f t="shared" si="65"/>
        <v>C</v>
      </c>
      <c r="I1916" s="5"/>
      <c r="J1916" s="5"/>
      <c r="K1916" s="5"/>
      <c r="L1916" s="7">
        <f>MEDIAN(2,7)</f>
        <v>4.5</v>
      </c>
      <c r="M1916" s="7" t="s">
        <v>571</v>
      </c>
      <c r="N1916" s="7">
        <v>49</v>
      </c>
      <c r="O1916" s="5">
        <v>42</v>
      </c>
      <c r="P1916" s="5">
        <v>50.2</v>
      </c>
      <c r="Q1916" s="2" t="s">
        <v>18</v>
      </c>
      <c r="R1916" s="5">
        <f>P1916*L1916</f>
        <v>225.9</v>
      </c>
      <c r="S1916" s="5"/>
      <c r="T1916" s="7" t="s">
        <v>531</v>
      </c>
      <c r="U1916" s="7"/>
      <c r="V1916" s="5"/>
      <c r="W1916" s="6" t="s">
        <v>2334</v>
      </c>
    </row>
    <row r="1917" spans="1:24" x14ac:dyDescent="0.15">
      <c r="A1917" s="2" t="s">
        <v>299</v>
      </c>
      <c r="B1917" s="2" t="s">
        <v>3939</v>
      </c>
      <c r="C1917" s="2" t="s">
        <v>1020</v>
      </c>
      <c r="D1917" s="2" t="s">
        <v>1452</v>
      </c>
      <c r="E1917" s="1"/>
      <c r="F1917" s="2" t="s">
        <v>850</v>
      </c>
      <c r="H1917" s="2" t="s">
        <v>3887</v>
      </c>
      <c r="I1917" s="5">
        <v>30</v>
      </c>
      <c r="J1917" s="5">
        <f xml:space="preserve"> 0.003021*(I1917*10)^2.4988</f>
        <v>4677.1501966311052</v>
      </c>
      <c r="K1917" s="5"/>
      <c r="L1917" s="5">
        <v>6</v>
      </c>
      <c r="M1917" s="2" t="s">
        <v>571</v>
      </c>
      <c r="N1917" s="5">
        <v>45</v>
      </c>
      <c r="O1917" s="5">
        <v>40</v>
      </c>
      <c r="P1917" s="5">
        <f xml:space="preserve"> 0.754*N1917 + 0.88*O1917- 29.002</f>
        <v>40.128</v>
      </c>
      <c r="Q1917" s="2" t="s">
        <v>376</v>
      </c>
      <c r="R1917" s="5">
        <f>P1917*L1917</f>
        <v>240.768</v>
      </c>
      <c r="S1917" s="5">
        <f>(R1917/J1917)*100</f>
        <v>5.147750016097886</v>
      </c>
      <c r="T1917" s="2">
        <f>MEDIAN(3,5)</f>
        <v>4</v>
      </c>
      <c r="U1917" s="2" t="str">
        <f>IF(T1917&lt;=1, "1",IF(AND(T1917&gt;1,T1917&lt;4), "2-3", "+4"))</f>
        <v>+4</v>
      </c>
      <c r="V1917" s="5">
        <f>T1917*S1917</f>
        <v>20.591000064391544</v>
      </c>
      <c r="W1917" s="6" t="s">
        <v>2165</v>
      </c>
    </row>
    <row r="1918" spans="1:24" x14ac:dyDescent="0.15">
      <c r="A1918" s="2" t="s">
        <v>299</v>
      </c>
      <c r="B1918" s="2" t="s">
        <v>3939</v>
      </c>
      <c r="C1918" s="2" t="s">
        <v>1020</v>
      </c>
      <c r="D1918" s="2" t="s">
        <v>1452</v>
      </c>
      <c r="E1918" s="1"/>
      <c r="F1918" s="2" t="s">
        <v>374</v>
      </c>
      <c r="G1918" s="2" t="s">
        <v>374</v>
      </c>
      <c r="H1918" s="2" t="str">
        <f t="shared" si="65"/>
        <v>C</v>
      </c>
      <c r="I1918" s="5">
        <v>28</v>
      </c>
      <c r="J1918" s="5">
        <v>3000</v>
      </c>
      <c r="K1918" s="5"/>
      <c r="L1918" s="5">
        <v>3</v>
      </c>
      <c r="M1918" s="2" t="s">
        <v>571</v>
      </c>
      <c r="N1918" s="5">
        <v>43.67</v>
      </c>
      <c r="O1918" s="5">
        <v>40.67</v>
      </c>
      <c r="P1918" s="5">
        <f xml:space="preserve"> 0.754*N1918 + 0.88*O1918- 29.002</f>
        <v>39.714780000000005</v>
      </c>
      <c r="Q1918" s="2" t="s">
        <v>376</v>
      </c>
      <c r="R1918" s="5">
        <v>119.14</v>
      </c>
      <c r="S1918" s="5">
        <v>3.97</v>
      </c>
      <c r="V1918" s="5"/>
      <c r="W1918" s="6" t="s">
        <v>3087</v>
      </c>
    </row>
    <row r="1919" spans="1:24" x14ac:dyDescent="0.15">
      <c r="A1919" s="2" t="s">
        <v>299</v>
      </c>
      <c r="B1919" s="2" t="s">
        <v>3939</v>
      </c>
      <c r="C1919" s="2" t="s">
        <v>1020</v>
      </c>
      <c r="D1919" s="2" t="s">
        <v>1452</v>
      </c>
      <c r="E1919" s="1"/>
      <c r="F1919" s="2" t="s">
        <v>374</v>
      </c>
      <c r="G1919" s="2" t="s">
        <v>374</v>
      </c>
      <c r="H1919" s="2" t="str">
        <f t="shared" si="65"/>
        <v>C</v>
      </c>
      <c r="I1919" s="5">
        <v>24.6</v>
      </c>
      <c r="J1919" s="5">
        <v>2727</v>
      </c>
      <c r="K1919" s="5"/>
      <c r="L1919" s="7">
        <v>4</v>
      </c>
      <c r="M1919" s="2" t="s">
        <v>571</v>
      </c>
      <c r="N1919" s="7">
        <v>50</v>
      </c>
      <c r="O1919" s="5">
        <v>36.5</v>
      </c>
      <c r="P1919" s="5">
        <v>42.6</v>
      </c>
      <c r="Q1919" s="2" t="s">
        <v>18</v>
      </c>
      <c r="R1919" s="5">
        <v>170.4</v>
      </c>
      <c r="S1919" s="5">
        <v>6.25</v>
      </c>
      <c r="T1919" s="7" t="s">
        <v>531</v>
      </c>
      <c r="U1919" s="7"/>
      <c r="V1919" s="5"/>
      <c r="W1919" s="6" t="s">
        <v>2721</v>
      </c>
    </row>
    <row r="1920" spans="1:24" x14ac:dyDescent="0.15">
      <c r="A1920" s="2" t="s">
        <v>299</v>
      </c>
      <c r="B1920" s="2" t="s">
        <v>3939</v>
      </c>
      <c r="C1920" s="2" t="s">
        <v>1020</v>
      </c>
      <c r="D1920" s="2" t="s">
        <v>1452</v>
      </c>
      <c r="E1920" s="1"/>
      <c r="F1920" s="2" t="s">
        <v>374</v>
      </c>
      <c r="G1920" s="2" t="s">
        <v>374</v>
      </c>
      <c r="H1920" s="2" t="str">
        <f t="shared" si="65"/>
        <v>C</v>
      </c>
      <c r="I1920" s="5">
        <v>37</v>
      </c>
      <c r="J1920" s="5">
        <v>8000</v>
      </c>
      <c r="K1920" s="5">
        <v>7</v>
      </c>
      <c r="L1920" s="5">
        <v>6.33</v>
      </c>
      <c r="M1920" s="2" t="s">
        <v>571</v>
      </c>
      <c r="N1920" s="5">
        <v>47.4</v>
      </c>
      <c r="O1920" s="5">
        <v>47.4</v>
      </c>
      <c r="P1920" s="5">
        <v>57.9</v>
      </c>
      <c r="Q1920" s="2" t="s">
        <v>18</v>
      </c>
      <c r="R1920" s="5">
        <v>366.5</v>
      </c>
      <c r="S1920" s="5">
        <v>4.58</v>
      </c>
      <c r="T1920" s="9">
        <f>MEDIAN(1,5)</f>
        <v>3</v>
      </c>
      <c r="U1920" s="2" t="str">
        <f>IF(T1920&lt;=1, "1",IF(AND(T1920&gt;1,T1920&lt;4), "2-3", "+4"))</f>
        <v>2-3</v>
      </c>
      <c r="V1920" s="5">
        <f>S1920*T1920</f>
        <v>13.74</v>
      </c>
      <c r="W1920" s="6" t="s">
        <v>2086</v>
      </c>
    </row>
    <row r="1921" spans="1:23" x14ac:dyDescent="0.15">
      <c r="A1921" s="2" t="s">
        <v>299</v>
      </c>
      <c r="B1921" s="2" t="s">
        <v>3939</v>
      </c>
      <c r="C1921" s="2" t="s">
        <v>1020</v>
      </c>
      <c r="D1921" s="2" t="s">
        <v>1452</v>
      </c>
      <c r="E1921" s="1"/>
      <c r="F1921" s="2" t="s">
        <v>1920</v>
      </c>
      <c r="G1921" s="2">
        <v>-18.98</v>
      </c>
      <c r="H1921" s="2" t="str">
        <f t="shared" si="65"/>
        <v>W</v>
      </c>
      <c r="I1921" s="5">
        <v>26.5</v>
      </c>
      <c r="J1921" s="5">
        <f xml:space="preserve"> 0.003021*(I1921*10)^2.4988</f>
        <v>3430.5007220030875</v>
      </c>
      <c r="K1921" s="5"/>
      <c r="L1921" s="5">
        <v>8</v>
      </c>
      <c r="M1921" s="2" t="s">
        <v>571</v>
      </c>
      <c r="N1921" s="5">
        <v>54.44</v>
      </c>
      <c r="O1921" s="5">
        <v>49.7</v>
      </c>
      <c r="P1921" s="5">
        <f xml:space="preserve"> 0.754*N1921 + 0.88*O1921- 29.002</f>
        <v>55.781760000000006</v>
      </c>
      <c r="Q1921" s="2" t="s">
        <v>376</v>
      </c>
      <c r="R1921" s="5">
        <f>P1921*L1921</f>
        <v>446.25408000000004</v>
      </c>
      <c r="S1921" s="5">
        <f>(R1921/J1921)*100</f>
        <v>13.008424022118554</v>
      </c>
      <c r="T1921" s="2" t="s">
        <v>122</v>
      </c>
      <c r="V1921" s="5"/>
      <c r="W1921" s="6" t="s">
        <v>3442</v>
      </c>
    </row>
    <row r="1922" spans="1:23" x14ac:dyDescent="0.15">
      <c r="A1922" s="2" t="s">
        <v>299</v>
      </c>
      <c r="B1922" s="2" t="s">
        <v>3939</v>
      </c>
      <c r="C1922" s="2" t="s">
        <v>1020</v>
      </c>
      <c r="D1922" s="2" t="s">
        <v>1452</v>
      </c>
      <c r="E1922" s="1"/>
      <c r="F1922" s="2" t="s">
        <v>374</v>
      </c>
      <c r="G1922" s="2" t="s">
        <v>374</v>
      </c>
      <c r="H1922" s="2" t="str">
        <f t="shared" si="65"/>
        <v>C</v>
      </c>
      <c r="I1922" s="5"/>
      <c r="J1922" s="5"/>
      <c r="K1922" s="5"/>
      <c r="L1922" s="5">
        <v>6.57</v>
      </c>
      <c r="M1922" s="2" t="s">
        <v>571</v>
      </c>
      <c r="N1922" s="5">
        <v>44</v>
      </c>
      <c r="O1922" s="5">
        <v>42</v>
      </c>
      <c r="P1922" s="5">
        <v>50.6</v>
      </c>
      <c r="Q1922" s="2" t="s">
        <v>18</v>
      </c>
      <c r="R1922" s="5">
        <v>332.44</v>
      </c>
      <c r="S1922" s="5"/>
      <c r="V1922" s="5"/>
      <c r="W1922" s="6" t="s">
        <v>3088</v>
      </c>
    </row>
    <row r="1923" spans="1:23" x14ac:dyDescent="0.15">
      <c r="A1923" s="2" t="s">
        <v>299</v>
      </c>
      <c r="B1923" s="2" t="s">
        <v>3939</v>
      </c>
      <c r="C1923" s="2" t="s">
        <v>1020</v>
      </c>
      <c r="D1923" s="2" t="s">
        <v>5143</v>
      </c>
      <c r="E1923" s="1" t="s">
        <v>5144</v>
      </c>
      <c r="F1923" s="2" t="s">
        <v>29</v>
      </c>
      <c r="H1923" s="2" t="s">
        <v>3887</v>
      </c>
      <c r="I1923" s="5"/>
      <c r="J1923" s="5"/>
      <c r="K1923" s="5"/>
      <c r="L1923" s="5"/>
      <c r="M1923" s="2" t="s">
        <v>571</v>
      </c>
      <c r="N1923" s="5"/>
      <c r="O1923" s="5"/>
      <c r="P1923" s="5"/>
      <c r="R1923" s="5"/>
      <c r="S1923" s="5"/>
      <c r="V1923" s="5"/>
      <c r="W1923" s="6" t="s">
        <v>838</v>
      </c>
    </row>
    <row r="1924" spans="1:23" x14ac:dyDescent="0.15">
      <c r="A1924" s="2" t="s">
        <v>299</v>
      </c>
      <c r="B1924" s="2" t="s">
        <v>3939</v>
      </c>
      <c r="C1924" s="2" t="s">
        <v>1020</v>
      </c>
      <c r="D1924" s="2" t="s">
        <v>803</v>
      </c>
      <c r="E1924" s="1"/>
      <c r="F1924" s="2" t="s">
        <v>247</v>
      </c>
      <c r="G1924" s="2">
        <v>-28</v>
      </c>
      <c r="H1924" s="2" t="str">
        <f t="shared" si="65"/>
        <v>W</v>
      </c>
      <c r="I1924" s="5">
        <v>28.3</v>
      </c>
      <c r="J1924" s="5">
        <f xml:space="preserve"> 0.0006705*(I1924*10)^2.7376</f>
        <v>3454.6919505376213</v>
      </c>
      <c r="K1924" s="5"/>
      <c r="L1924" s="5">
        <v>3</v>
      </c>
      <c r="M1924" s="2" t="s">
        <v>571</v>
      </c>
      <c r="N1924" s="5">
        <v>45</v>
      </c>
      <c r="O1924" s="5">
        <v>33.43</v>
      </c>
      <c r="P1924" s="5">
        <f xml:space="preserve"> 0.754*N1924 +0.88*O1924 - 29.002</f>
        <v>34.346400000000003</v>
      </c>
      <c r="Q1924" s="2" t="s">
        <v>376</v>
      </c>
      <c r="R1924" s="5">
        <f>P1924*L1924</f>
        <v>103.03920000000001</v>
      </c>
      <c r="S1924" s="5">
        <f>(R1924/J1924)*100</f>
        <v>2.9825872024266875</v>
      </c>
      <c r="T1924" s="2">
        <v>2</v>
      </c>
      <c r="U1924" s="2" t="str">
        <f>IF(T1924&lt;=1, "1",IF(AND(T1924&gt;1,T1924&lt;4), "2-3", "+4"))</f>
        <v>2-3</v>
      </c>
      <c r="V1924" s="5">
        <f>S1924*T1924</f>
        <v>5.965174404853375</v>
      </c>
      <c r="W1924" s="6" t="s">
        <v>2087</v>
      </c>
    </row>
    <row r="1925" spans="1:23" x14ac:dyDescent="0.15">
      <c r="A1925" s="2" t="s">
        <v>299</v>
      </c>
      <c r="B1925" s="2" t="s">
        <v>3939</v>
      </c>
      <c r="C1925" s="2" t="s">
        <v>1020</v>
      </c>
      <c r="D1925" s="2" t="s">
        <v>803</v>
      </c>
      <c r="E1925" s="1"/>
      <c r="F1925" s="2" t="s">
        <v>247</v>
      </c>
      <c r="G1925" s="2">
        <v>-40.799999999999997</v>
      </c>
      <c r="H1925" s="2" t="str">
        <f t="shared" si="65"/>
        <v>W</v>
      </c>
      <c r="I1925" s="5">
        <f>(AVERAGE(199,196,261,213,196,136,153,158,205,213,252))/10</f>
        <v>19.836363636363636</v>
      </c>
      <c r="J1925" s="5">
        <f>AVERAGE(1200,1300,2700,1500,1300,445,750,650,1500,1500,2750)</f>
        <v>1417.7272727272727</v>
      </c>
      <c r="K1925" s="5"/>
      <c r="L1925" s="5">
        <v>2</v>
      </c>
      <c r="M1925" s="2" t="s">
        <v>571</v>
      </c>
      <c r="N1925" s="5"/>
      <c r="O1925" s="5"/>
      <c r="P1925" s="5"/>
      <c r="R1925" s="5"/>
      <c r="S1925" s="5"/>
      <c r="V1925" s="5"/>
      <c r="W1925" s="6" t="s">
        <v>2088</v>
      </c>
    </row>
    <row r="1926" spans="1:23" x14ac:dyDescent="0.15">
      <c r="A1926" s="2" t="s">
        <v>299</v>
      </c>
      <c r="B1926" s="2" t="s">
        <v>3939</v>
      </c>
      <c r="C1926" s="2" t="s">
        <v>1020</v>
      </c>
      <c r="D1926" s="2" t="s">
        <v>803</v>
      </c>
      <c r="E1926" s="1"/>
      <c r="F1926" s="2" t="s">
        <v>374</v>
      </c>
      <c r="G1926" s="2" t="s">
        <v>374</v>
      </c>
      <c r="H1926" s="2" t="str">
        <f t="shared" si="65"/>
        <v>C</v>
      </c>
      <c r="I1926" s="5"/>
      <c r="J1926" s="5"/>
      <c r="K1926" s="5"/>
      <c r="L1926" s="5">
        <v>2</v>
      </c>
      <c r="M1926" s="2" t="s">
        <v>571</v>
      </c>
      <c r="N1926" s="5">
        <v>45</v>
      </c>
      <c r="O1926" s="5">
        <v>33</v>
      </c>
      <c r="P1926" s="5">
        <f xml:space="preserve"> 1.058*N1926 +1.039*O1926 - 46.534</f>
        <v>35.362999999999992</v>
      </c>
      <c r="Q1926" s="2" t="s">
        <v>376</v>
      </c>
      <c r="R1926" s="5">
        <f>P1926*L1926</f>
        <v>70.725999999999985</v>
      </c>
      <c r="S1926" s="5"/>
      <c r="V1926" s="5"/>
      <c r="W1926" s="6" t="s">
        <v>2159</v>
      </c>
    </row>
    <row r="1927" spans="1:23" x14ac:dyDescent="0.15">
      <c r="A1927" s="2" t="s">
        <v>299</v>
      </c>
      <c r="B1927" s="2" t="s">
        <v>3939</v>
      </c>
      <c r="C1927" s="2" t="s">
        <v>1020</v>
      </c>
      <c r="D1927" s="2" t="s">
        <v>803</v>
      </c>
      <c r="E1927" s="1"/>
      <c r="F1927" s="2" t="s">
        <v>247</v>
      </c>
      <c r="G1927" s="2">
        <v>-35.35</v>
      </c>
      <c r="H1927" s="2" t="str">
        <f t="shared" si="65"/>
        <v>W</v>
      </c>
      <c r="I1927" s="5">
        <v>21.99</v>
      </c>
      <c r="J1927" s="5">
        <v>2179</v>
      </c>
      <c r="K1927" s="5"/>
      <c r="L1927" s="7">
        <v>4.5</v>
      </c>
      <c r="M1927" s="2" t="s">
        <v>571</v>
      </c>
      <c r="N1927" s="5">
        <v>46.2</v>
      </c>
      <c r="O1927" s="5">
        <v>46.2</v>
      </c>
      <c r="P1927" s="5">
        <v>50.35</v>
      </c>
      <c r="Q1927" s="2" t="s">
        <v>376</v>
      </c>
      <c r="R1927" s="5">
        <v>226.56</v>
      </c>
      <c r="S1927" s="5">
        <v>10.398</v>
      </c>
      <c r="V1927" s="5"/>
      <c r="W1927" s="6" t="s">
        <v>2716</v>
      </c>
    </row>
    <row r="1928" spans="1:23" x14ac:dyDescent="0.15">
      <c r="A1928" s="2" t="s">
        <v>299</v>
      </c>
      <c r="B1928" s="2" t="s">
        <v>3939</v>
      </c>
      <c r="C1928" s="2" t="s">
        <v>1020</v>
      </c>
      <c r="D1928" s="2" t="s">
        <v>803</v>
      </c>
      <c r="E1928" s="1"/>
      <c r="F1928" s="2" t="s">
        <v>247</v>
      </c>
      <c r="G1928" s="2" t="s">
        <v>374</v>
      </c>
      <c r="H1928" s="2" t="str">
        <f t="shared" si="65"/>
        <v>C</v>
      </c>
      <c r="I1928" s="5">
        <v>21.84</v>
      </c>
      <c r="J1928" s="5">
        <v>1699</v>
      </c>
      <c r="K1928" s="7"/>
      <c r="L1928" s="7">
        <f>MEDIAN(1,3)</f>
        <v>2</v>
      </c>
      <c r="M1928" s="2" t="s">
        <v>571</v>
      </c>
      <c r="N1928" s="7"/>
      <c r="O1928" s="5"/>
      <c r="P1928" s="5">
        <v>32.299999999999997</v>
      </c>
      <c r="Q1928" s="2" t="s">
        <v>18</v>
      </c>
      <c r="R1928" s="5">
        <v>64.599999999999994</v>
      </c>
      <c r="S1928" s="5">
        <v>3.8</v>
      </c>
      <c r="T1928" s="9" t="s">
        <v>495</v>
      </c>
      <c r="U1928" s="40" t="s">
        <v>395</v>
      </c>
      <c r="V1928" s="5"/>
      <c r="W1928" s="6" t="s">
        <v>2715</v>
      </c>
    </row>
    <row r="1929" spans="1:23" x14ac:dyDescent="0.15">
      <c r="A1929" s="2" t="s">
        <v>299</v>
      </c>
      <c r="B1929" s="2" t="s">
        <v>3939</v>
      </c>
      <c r="C1929" s="2" t="s">
        <v>1020</v>
      </c>
      <c r="D1929" s="2" t="s">
        <v>803</v>
      </c>
      <c r="E1929" s="1"/>
      <c r="F1929" s="2" t="s">
        <v>374</v>
      </c>
      <c r="G1929" s="2" t="s">
        <v>374</v>
      </c>
      <c r="H1929" s="2" t="str">
        <f t="shared" si="65"/>
        <v>C</v>
      </c>
      <c r="I1929" s="5">
        <v>21.5</v>
      </c>
      <c r="J1929" s="5">
        <v>2640</v>
      </c>
      <c r="K1929" s="5"/>
      <c r="L1929" s="5">
        <v>3</v>
      </c>
      <c r="M1929" s="2" t="s">
        <v>571</v>
      </c>
      <c r="N1929" s="5">
        <v>47</v>
      </c>
      <c r="O1929" s="5">
        <v>38.4</v>
      </c>
      <c r="P1929" s="5">
        <v>36.5</v>
      </c>
      <c r="Q1929" s="2" t="s">
        <v>18</v>
      </c>
      <c r="R1929" s="5">
        <v>109.5</v>
      </c>
      <c r="S1929" s="5">
        <v>4.1500000000000004</v>
      </c>
      <c r="T1929" s="9">
        <f>MEDIAN(2,4)</f>
        <v>3</v>
      </c>
      <c r="U1929" s="2" t="str">
        <f>IF(T1929&lt;=1, "1",IF(AND(T1929&gt;1,T1929&lt;4), "2-3", "+4"))</f>
        <v>2-3</v>
      </c>
      <c r="V1929" s="5">
        <f>S1929*T1929</f>
        <v>12.450000000000001</v>
      </c>
      <c r="W1929" s="6" t="s">
        <v>3381</v>
      </c>
    </row>
    <row r="1930" spans="1:23" x14ac:dyDescent="0.15">
      <c r="A1930" s="2" t="s">
        <v>299</v>
      </c>
      <c r="B1930" s="2" t="s">
        <v>3939</v>
      </c>
      <c r="C1930" s="2" t="s">
        <v>1020</v>
      </c>
      <c r="D1930" s="2" t="s">
        <v>803</v>
      </c>
      <c r="E1930" s="1"/>
      <c r="F1930" s="2" t="s">
        <v>850</v>
      </c>
      <c r="H1930" s="2" t="s">
        <v>3887</v>
      </c>
      <c r="I1930" s="5"/>
      <c r="J1930" s="5"/>
      <c r="K1930" s="5"/>
      <c r="L1930" s="5">
        <f>MEDIAN(2,6)</f>
        <v>4</v>
      </c>
      <c r="M1930" s="2" t="s">
        <v>571</v>
      </c>
      <c r="N1930" s="5">
        <v>45</v>
      </c>
      <c r="O1930" s="5">
        <v>35</v>
      </c>
      <c r="P1930" s="5">
        <f xml:space="preserve"> 1.058*N1930 +1.039*O1930 - 46.534</f>
        <v>37.440999999999995</v>
      </c>
      <c r="Q1930" s="2" t="s">
        <v>376</v>
      </c>
      <c r="R1930" s="5">
        <f>P1930*L1930</f>
        <v>149.76399999999998</v>
      </c>
      <c r="S1930" s="5"/>
      <c r="T1930" s="2">
        <v>3</v>
      </c>
      <c r="U1930" s="2" t="str">
        <f>IF(T1930&lt;=1, "1",IF(AND(T1930&gt;1,T1930&lt;4), "2-3", "+4"))</f>
        <v>2-3</v>
      </c>
      <c r="V1930" s="5"/>
      <c r="W1930" s="6" t="s">
        <v>2165</v>
      </c>
    </row>
    <row r="1931" spans="1:23" x14ac:dyDescent="0.15">
      <c r="A1931" s="2" t="s">
        <v>299</v>
      </c>
      <c r="B1931" s="2" t="s">
        <v>3939</v>
      </c>
      <c r="C1931" s="2" t="s">
        <v>1020</v>
      </c>
      <c r="D1931" s="2" t="s">
        <v>803</v>
      </c>
      <c r="E1931" s="1"/>
      <c r="F1931" s="2" t="s">
        <v>247</v>
      </c>
      <c r="G1931" s="9">
        <v>-40.729999999999997</v>
      </c>
      <c r="H1931" s="2" t="str">
        <f t="shared" si="65"/>
        <v>W</v>
      </c>
      <c r="I1931" s="5">
        <v>23.63</v>
      </c>
      <c r="J1931" s="5">
        <f xml:space="preserve"> 0.0006705*(I1931*10)^2.7376</f>
        <v>2108.5944861468092</v>
      </c>
      <c r="K1931" s="5"/>
      <c r="L1931" s="7">
        <f>MEDIAN(1,7)</f>
        <v>4</v>
      </c>
      <c r="M1931" s="2" t="s">
        <v>571</v>
      </c>
      <c r="N1931" s="5"/>
      <c r="O1931" s="5"/>
      <c r="P1931" s="5"/>
      <c r="R1931" s="5"/>
      <c r="S1931" s="5"/>
      <c r="T1931" s="9" t="s">
        <v>382</v>
      </c>
      <c r="U1931" s="40" t="s">
        <v>395</v>
      </c>
      <c r="V1931" s="5"/>
      <c r="W1931" s="6" t="s">
        <v>3255</v>
      </c>
    </row>
    <row r="1932" spans="1:23" x14ac:dyDescent="0.15">
      <c r="A1932" s="1" t="s">
        <v>299</v>
      </c>
      <c r="B1932" s="2" t="s">
        <v>3939</v>
      </c>
      <c r="C1932" s="2" t="s">
        <v>1020</v>
      </c>
      <c r="D1932" s="1" t="s">
        <v>5143</v>
      </c>
      <c r="E1932" s="1" t="s">
        <v>5145</v>
      </c>
      <c r="F1932" s="1" t="s">
        <v>3620</v>
      </c>
      <c r="G1932" s="1">
        <v>-0.26</v>
      </c>
      <c r="H1932" s="2" t="str">
        <f t="shared" si="65"/>
        <v>W</v>
      </c>
      <c r="I1932" s="8"/>
      <c r="J1932" s="8"/>
      <c r="K1932" s="8"/>
      <c r="L1932" s="8">
        <v>7</v>
      </c>
      <c r="M1932" s="8" t="s">
        <v>571</v>
      </c>
      <c r="N1932" s="8"/>
      <c r="O1932" s="8"/>
      <c r="P1932" s="8"/>
      <c r="Q1932" s="1"/>
      <c r="R1932" s="8"/>
      <c r="S1932" s="8"/>
      <c r="T1932" s="1"/>
      <c r="U1932" s="1"/>
      <c r="V1932" s="8"/>
      <c r="W1932" s="6" t="s">
        <v>3638</v>
      </c>
    </row>
    <row r="1933" spans="1:23" x14ac:dyDescent="0.15">
      <c r="A1933" s="1" t="s">
        <v>299</v>
      </c>
      <c r="B1933" s="2" t="s">
        <v>3939</v>
      </c>
      <c r="C1933" s="2" t="s">
        <v>1020</v>
      </c>
      <c r="D1933" s="1" t="s">
        <v>5143</v>
      </c>
      <c r="E1933" s="1" t="s">
        <v>5145</v>
      </c>
      <c r="F1933" s="1" t="s">
        <v>3620</v>
      </c>
      <c r="G1933" s="1">
        <v>-0.26</v>
      </c>
      <c r="H1933" s="2" t="str">
        <f t="shared" si="65"/>
        <v>W</v>
      </c>
      <c r="I1933" s="8">
        <v>63.73</v>
      </c>
      <c r="J1933" s="8">
        <v>20000</v>
      </c>
      <c r="K1933" s="8"/>
      <c r="L1933" s="8"/>
      <c r="M1933" s="1" t="s">
        <v>571</v>
      </c>
      <c r="N1933" s="8"/>
      <c r="O1933" s="8"/>
      <c r="P1933" s="8"/>
      <c r="Q1933" s="1"/>
      <c r="R1933" s="8"/>
      <c r="S1933" s="8"/>
      <c r="T1933" s="1"/>
      <c r="U1933" s="1"/>
      <c r="V1933" s="8"/>
      <c r="W1933" s="6" t="s">
        <v>3631</v>
      </c>
    </row>
    <row r="1934" spans="1:23" x14ac:dyDescent="0.15">
      <c r="A1934" s="2" t="s">
        <v>299</v>
      </c>
      <c r="B1934" s="2" t="s">
        <v>3939</v>
      </c>
      <c r="C1934" s="2" t="s">
        <v>1020</v>
      </c>
      <c r="D1934" s="2" t="s">
        <v>3577</v>
      </c>
      <c r="E1934" s="1"/>
      <c r="F1934" s="2" t="s">
        <v>374</v>
      </c>
      <c r="G1934" s="2" t="s">
        <v>374</v>
      </c>
      <c r="H1934" s="2" t="str">
        <f t="shared" si="65"/>
        <v>C</v>
      </c>
      <c r="I1934" s="5">
        <v>41.2</v>
      </c>
      <c r="J1934" s="5">
        <v>15000</v>
      </c>
      <c r="K1934" s="5"/>
      <c r="L1934" s="5">
        <v>11.33</v>
      </c>
      <c r="M1934" s="2" t="s">
        <v>571</v>
      </c>
      <c r="N1934" s="5">
        <v>54.2</v>
      </c>
      <c r="O1934" s="5">
        <v>51</v>
      </c>
      <c r="P1934" s="5">
        <v>84.75</v>
      </c>
      <c r="Q1934" s="2" t="s">
        <v>18</v>
      </c>
      <c r="R1934" s="5">
        <v>960.22</v>
      </c>
      <c r="S1934" s="5">
        <v>6.4</v>
      </c>
      <c r="V1934" s="5"/>
      <c r="W1934" s="6" t="s">
        <v>3854</v>
      </c>
    </row>
    <row r="1935" spans="1:23" x14ac:dyDescent="0.15">
      <c r="A1935" s="2" t="s">
        <v>299</v>
      </c>
      <c r="B1935" s="2" t="s">
        <v>3939</v>
      </c>
      <c r="C1935" s="2" t="s">
        <v>1020</v>
      </c>
      <c r="D1935" s="2" t="s">
        <v>3577</v>
      </c>
      <c r="E1935" s="1"/>
      <c r="F1935" s="2" t="s">
        <v>94</v>
      </c>
      <c r="G1935" s="2">
        <v>4.07</v>
      </c>
      <c r="H1935" s="2" t="str">
        <f t="shared" si="65"/>
        <v>W</v>
      </c>
      <c r="I1935" s="5">
        <v>32.200000000000003</v>
      </c>
      <c r="J1935" s="5">
        <v>4573</v>
      </c>
      <c r="K1935" s="5"/>
      <c r="L1935" s="5"/>
      <c r="M1935" s="2" t="s">
        <v>571</v>
      </c>
      <c r="N1935" s="5"/>
      <c r="O1935" s="5"/>
      <c r="P1935" s="5"/>
      <c r="R1935" s="5"/>
      <c r="S1935" s="5"/>
      <c r="V1935" s="5"/>
      <c r="W1935" s="6" t="s">
        <v>2712</v>
      </c>
    </row>
    <row r="1936" spans="1:23" x14ac:dyDescent="0.15">
      <c r="A1936" s="2" t="s">
        <v>299</v>
      </c>
      <c r="B1936" s="2" t="s">
        <v>3939</v>
      </c>
      <c r="C1936" s="2" t="s">
        <v>1020</v>
      </c>
      <c r="D1936" s="2" t="s">
        <v>3577</v>
      </c>
      <c r="E1936" s="1"/>
      <c r="F1936" s="2" t="s">
        <v>374</v>
      </c>
      <c r="G1936" s="2" t="s">
        <v>374</v>
      </c>
      <c r="H1936" s="2" t="str">
        <f t="shared" si="65"/>
        <v>C</v>
      </c>
      <c r="I1936" s="5">
        <v>36.1</v>
      </c>
      <c r="J1936" s="5">
        <v>7428</v>
      </c>
      <c r="K1936" s="5"/>
      <c r="L1936" s="7">
        <v>4.84</v>
      </c>
      <c r="M1936" s="2" t="s">
        <v>571</v>
      </c>
      <c r="N1936" s="5">
        <v>51</v>
      </c>
      <c r="O1936" s="7">
        <v>48</v>
      </c>
      <c r="P1936" s="5">
        <v>72.400000000000006</v>
      </c>
      <c r="Q1936" s="2" t="s">
        <v>18</v>
      </c>
      <c r="R1936" s="5">
        <v>350.42</v>
      </c>
      <c r="S1936" s="5">
        <v>4.72</v>
      </c>
      <c r="T1936" s="9" t="s">
        <v>399</v>
      </c>
      <c r="U1936" s="9"/>
      <c r="V1936" s="5"/>
      <c r="W1936" s="6" t="s">
        <v>2713</v>
      </c>
    </row>
    <row r="1937" spans="1:23" x14ac:dyDescent="0.15">
      <c r="A1937" s="2" t="s">
        <v>299</v>
      </c>
      <c r="B1937" s="2" t="s">
        <v>3939</v>
      </c>
      <c r="C1937" s="2" t="s">
        <v>1020</v>
      </c>
      <c r="D1937" s="2" t="s">
        <v>3577</v>
      </c>
      <c r="E1937" s="1"/>
      <c r="F1937" s="2" t="s">
        <v>374</v>
      </c>
      <c r="G1937" s="2" t="s">
        <v>374</v>
      </c>
      <c r="H1937" s="2" t="str">
        <f t="shared" si="65"/>
        <v>C</v>
      </c>
      <c r="I1937" s="5">
        <f>(EXP((LN(J1937/0.003021))/2.4988)/10)</f>
        <v>34.011585712015318</v>
      </c>
      <c r="J1937" s="5">
        <v>6400</v>
      </c>
      <c r="K1937" s="7">
        <v>8</v>
      </c>
      <c r="L1937" s="7">
        <v>8.33</v>
      </c>
      <c r="M1937" s="2" t="s">
        <v>571</v>
      </c>
      <c r="N1937" s="5"/>
      <c r="O1937" s="5"/>
      <c r="P1937" s="5"/>
      <c r="R1937" s="5"/>
      <c r="S1937" s="5"/>
      <c r="T1937" s="9" t="s">
        <v>524</v>
      </c>
      <c r="U1937" s="40" t="s">
        <v>395</v>
      </c>
      <c r="V1937" s="5"/>
      <c r="W1937" s="6" t="s">
        <v>2714</v>
      </c>
    </row>
    <row r="1938" spans="1:23" x14ac:dyDescent="0.15">
      <c r="A1938" s="2" t="s">
        <v>299</v>
      </c>
      <c r="B1938" s="2" t="s">
        <v>3939</v>
      </c>
      <c r="C1938" s="2" t="s">
        <v>1020</v>
      </c>
      <c r="D1938" s="2" t="s">
        <v>3577</v>
      </c>
      <c r="E1938" s="1"/>
      <c r="F1938" s="2" t="s">
        <v>219</v>
      </c>
      <c r="G1938" s="2" t="s">
        <v>374</v>
      </c>
      <c r="H1938" s="2" t="str">
        <f t="shared" si="65"/>
        <v>C</v>
      </c>
      <c r="I1938" s="5"/>
      <c r="J1938" s="5"/>
      <c r="K1938" s="5"/>
      <c r="L1938" s="7">
        <f>MEDIAN(1,8)</f>
        <v>4.5</v>
      </c>
      <c r="M1938" s="2" t="s">
        <v>571</v>
      </c>
      <c r="N1938" s="7">
        <v>51</v>
      </c>
      <c r="O1938" s="5">
        <v>48</v>
      </c>
      <c r="P1938" s="5">
        <v>72.400000000000006</v>
      </c>
      <c r="Q1938" s="2" t="s">
        <v>18</v>
      </c>
      <c r="R1938" s="5">
        <f>P1938*L1938</f>
        <v>325.8</v>
      </c>
      <c r="S1938" s="5"/>
      <c r="T1938" s="7"/>
      <c r="U1938" s="7"/>
      <c r="V1938" s="5"/>
      <c r="W1938" s="6" t="s">
        <v>2334</v>
      </c>
    </row>
    <row r="1939" spans="1:23" x14ac:dyDescent="0.15">
      <c r="A1939" s="2" t="s">
        <v>299</v>
      </c>
      <c r="B1939" s="2" t="s">
        <v>3939</v>
      </c>
      <c r="C1939" s="2" t="s">
        <v>1020</v>
      </c>
      <c r="D1939" s="2" t="s">
        <v>3577</v>
      </c>
      <c r="E1939" s="1"/>
      <c r="F1939" s="2" t="s">
        <v>26</v>
      </c>
      <c r="G1939" s="2">
        <v>-2.2999999999999998</v>
      </c>
      <c r="H1939" s="2" t="str">
        <f t="shared" si="65"/>
        <v>W</v>
      </c>
      <c r="I1939" s="5">
        <v>39.18</v>
      </c>
      <c r="J1939" s="5">
        <v>5080</v>
      </c>
      <c r="K1939" s="5"/>
      <c r="L1939" s="5">
        <v>4.2</v>
      </c>
      <c r="M1939" s="2" t="s">
        <v>571</v>
      </c>
      <c r="N1939" s="5">
        <v>44.69</v>
      </c>
      <c r="O1939" s="5"/>
      <c r="P1939" s="5">
        <v>37.08</v>
      </c>
      <c r="Q1939" s="2" t="s">
        <v>376</v>
      </c>
      <c r="R1939" s="5">
        <f>P1939*L1939</f>
        <v>155.73599999999999</v>
      </c>
      <c r="S1939" s="5">
        <f>(R1939/J1939)*100</f>
        <v>3.0656692913385823</v>
      </c>
      <c r="V1939" s="5"/>
      <c r="W1939" s="6" t="s">
        <v>2711</v>
      </c>
    </row>
    <row r="1940" spans="1:23" x14ac:dyDescent="0.15">
      <c r="A1940" s="2" t="s">
        <v>299</v>
      </c>
      <c r="B1940" s="2" t="s">
        <v>3939</v>
      </c>
      <c r="C1940" s="2" t="s">
        <v>1020</v>
      </c>
      <c r="D1940" s="2" t="s">
        <v>3577</v>
      </c>
      <c r="E1940" s="1"/>
      <c r="F1940" s="2" t="s">
        <v>850</v>
      </c>
      <c r="H1940" s="2" t="s">
        <v>3887</v>
      </c>
      <c r="I1940" s="5"/>
      <c r="J1940" s="5"/>
      <c r="K1940" s="5">
        <f>MEDIAN(12,15)</f>
        <v>13.5</v>
      </c>
      <c r="L1940" s="5">
        <f>MEDIAN(5,8)</f>
        <v>6.5</v>
      </c>
      <c r="M1940" s="2" t="s">
        <v>571</v>
      </c>
      <c r="N1940" s="5">
        <v>50</v>
      </c>
      <c r="O1940" s="5">
        <v>48</v>
      </c>
      <c r="P1940" s="5">
        <v>50.938000000000002</v>
      </c>
      <c r="Q1940" s="2" t="s">
        <v>376</v>
      </c>
      <c r="R1940" s="5">
        <f>P1940*L1940</f>
        <v>331.09700000000004</v>
      </c>
      <c r="S1940" s="5"/>
      <c r="T1940" s="2" t="s">
        <v>861</v>
      </c>
      <c r="V1940" s="5"/>
      <c r="W1940" s="6" t="s">
        <v>2165</v>
      </c>
    </row>
    <row r="1941" spans="1:23" x14ac:dyDescent="0.15">
      <c r="A1941" s="2" t="s">
        <v>299</v>
      </c>
      <c r="B1941" s="2" t="s">
        <v>3939</v>
      </c>
      <c r="C1941" s="2" t="s">
        <v>1020</v>
      </c>
      <c r="D1941" s="2" t="s">
        <v>5143</v>
      </c>
      <c r="E1941" s="1" t="s">
        <v>5146</v>
      </c>
      <c r="F1941" s="2" t="s">
        <v>29</v>
      </c>
      <c r="H1941" s="2" t="s">
        <v>3887</v>
      </c>
      <c r="I1941" s="5"/>
      <c r="J1941" s="5"/>
      <c r="K1941" s="5"/>
      <c r="L1941" s="5"/>
      <c r="M1941" s="2" t="s">
        <v>571</v>
      </c>
      <c r="N1941" s="5"/>
      <c r="O1941" s="5"/>
      <c r="P1941" s="5"/>
      <c r="R1941" s="5"/>
      <c r="S1941" s="5"/>
      <c r="V1941" s="5"/>
      <c r="W1941" s="6" t="s">
        <v>838</v>
      </c>
    </row>
    <row r="1942" spans="1:23" x14ac:dyDescent="0.15">
      <c r="A1942" s="1" t="s">
        <v>299</v>
      </c>
      <c r="B1942" s="2" t="s">
        <v>3939</v>
      </c>
      <c r="C1942" s="2" t="s">
        <v>1020</v>
      </c>
      <c r="D1942" s="1" t="s">
        <v>5143</v>
      </c>
      <c r="E1942" s="1" t="s">
        <v>5147</v>
      </c>
      <c r="F1942" s="1" t="s">
        <v>3615</v>
      </c>
      <c r="G1942" s="1">
        <v>-0.61</v>
      </c>
      <c r="H1942" s="2" t="str">
        <f t="shared" ref="H1942:H1967" si="66">IF(G1942="captive","C","W")</f>
        <v>W</v>
      </c>
      <c r="I1942" s="8">
        <v>49.63</v>
      </c>
      <c r="J1942" s="5">
        <v>14000</v>
      </c>
      <c r="K1942" s="8"/>
      <c r="L1942" s="8">
        <v>5.12</v>
      </c>
      <c r="M1942" s="1" t="s">
        <v>571</v>
      </c>
      <c r="N1942" s="8"/>
      <c r="O1942" s="8"/>
      <c r="P1942" s="8"/>
      <c r="Q1942" s="1"/>
      <c r="R1942" s="8"/>
      <c r="S1942" s="8"/>
      <c r="T1942" s="1"/>
      <c r="U1942" s="1"/>
      <c r="V1942" s="8"/>
      <c r="W1942" s="6" t="s">
        <v>3631</v>
      </c>
    </row>
    <row r="1943" spans="1:23" x14ac:dyDescent="0.15">
      <c r="A1943" s="2" t="s">
        <v>299</v>
      </c>
      <c r="B1943" s="2" t="s">
        <v>3939</v>
      </c>
      <c r="C1943" s="2" t="s">
        <v>1020</v>
      </c>
      <c r="D1943" s="2" t="s">
        <v>5143</v>
      </c>
      <c r="E1943" s="1"/>
      <c r="F1943" s="2" t="s">
        <v>455</v>
      </c>
      <c r="G1943" s="2" t="s">
        <v>374</v>
      </c>
      <c r="H1943" s="2" t="str">
        <f t="shared" si="66"/>
        <v>C</v>
      </c>
      <c r="I1943" s="5"/>
      <c r="J1943" s="5"/>
      <c r="K1943" s="5"/>
      <c r="L1943" s="7">
        <v>8.6</v>
      </c>
      <c r="M1943" s="2" t="s">
        <v>571</v>
      </c>
      <c r="N1943" s="5"/>
      <c r="O1943" s="5"/>
      <c r="P1943" s="5"/>
      <c r="R1943" s="5"/>
      <c r="S1943" s="5"/>
      <c r="T1943" s="2" t="s">
        <v>399</v>
      </c>
      <c r="V1943" s="5"/>
      <c r="W1943" s="6" t="s">
        <v>3089</v>
      </c>
    </row>
    <row r="1944" spans="1:23" x14ac:dyDescent="0.15">
      <c r="A1944" s="2" t="s">
        <v>299</v>
      </c>
      <c r="B1944" s="2" t="s">
        <v>3939</v>
      </c>
      <c r="C1944" s="2" t="s">
        <v>1020</v>
      </c>
      <c r="D1944" s="2" t="s">
        <v>5143</v>
      </c>
      <c r="E1944" s="1"/>
      <c r="F1944" s="2" t="s">
        <v>2287</v>
      </c>
      <c r="G1944" s="2" t="s">
        <v>374</v>
      </c>
      <c r="H1944" s="2" t="str">
        <f t="shared" si="66"/>
        <v>C</v>
      </c>
      <c r="I1944" s="5">
        <v>79</v>
      </c>
      <c r="J1944" s="5">
        <v>96000</v>
      </c>
      <c r="K1944" s="7">
        <f>MEDIAN(17,23)</f>
        <v>20</v>
      </c>
      <c r="L1944" s="5">
        <v>10.6</v>
      </c>
      <c r="M1944" s="2" t="s">
        <v>571</v>
      </c>
      <c r="N1944" s="7"/>
      <c r="O1944" s="5"/>
      <c r="P1944" s="5"/>
      <c r="R1944" s="5"/>
      <c r="S1944" s="5"/>
      <c r="T1944" s="9"/>
      <c r="U1944" s="9"/>
      <c r="V1944" s="5"/>
      <c r="W1944" s="6" t="s">
        <v>2704</v>
      </c>
    </row>
    <row r="1945" spans="1:23" x14ac:dyDescent="0.15">
      <c r="A1945" s="2" t="s">
        <v>299</v>
      </c>
      <c r="B1945" s="2" t="s">
        <v>3939</v>
      </c>
      <c r="C1945" s="2" t="s">
        <v>1020</v>
      </c>
      <c r="D1945" s="2" t="s">
        <v>5143</v>
      </c>
      <c r="E1945" s="1"/>
      <c r="F1945" s="2" t="s">
        <v>2287</v>
      </c>
      <c r="G1945" s="2" t="s">
        <v>374</v>
      </c>
      <c r="H1945" s="2" t="str">
        <f t="shared" si="66"/>
        <v>C</v>
      </c>
      <c r="I1945" s="5"/>
      <c r="J1945" s="5"/>
      <c r="K1945" s="5"/>
      <c r="L1945" s="5"/>
      <c r="M1945" s="2" t="s">
        <v>571</v>
      </c>
      <c r="N1945" s="7" t="s">
        <v>3872</v>
      </c>
      <c r="O1945" s="5"/>
      <c r="P1945" s="7">
        <f>MEDIAN(114,149)</f>
        <v>131.5</v>
      </c>
      <c r="Q1945" s="2" t="s">
        <v>18</v>
      </c>
      <c r="R1945" s="5"/>
      <c r="S1945" s="5"/>
      <c r="T1945" s="9"/>
      <c r="U1945" s="9"/>
      <c r="V1945" s="5"/>
      <c r="W1945" s="6" t="s">
        <v>2705</v>
      </c>
    </row>
    <row r="1946" spans="1:23" x14ac:dyDescent="0.15">
      <c r="A1946" s="2" t="s">
        <v>299</v>
      </c>
      <c r="B1946" s="2" t="s">
        <v>3939</v>
      </c>
      <c r="C1946" s="2" t="s">
        <v>1020</v>
      </c>
      <c r="D1946" s="2" t="s">
        <v>5143</v>
      </c>
      <c r="E1946" s="1"/>
      <c r="F1946" s="2" t="s">
        <v>371</v>
      </c>
      <c r="G1946" s="2" t="s">
        <v>374</v>
      </c>
      <c r="H1946" s="2" t="str">
        <f t="shared" si="66"/>
        <v>C</v>
      </c>
      <c r="I1946" s="5">
        <f>EXP(LN(J1946/8.278)/2.1149)</f>
        <v>85.744749732255599</v>
      </c>
      <c r="J1946" s="5">
        <v>101500</v>
      </c>
      <c r="K1946" s="5"/>
      <c r="L1946" s="5">
        <v>14</v>
      </c>
      <c r="M1946" s="2" t="s">
        <v>571</v>
      </c>
      <c r="N1946" s="5"/>
      <c r="O1946" s="5"/>
      <c r="P1946" s="5"/>
      <c r="R1946" s="5"/>
      <c r="S1946" s="5"/>
      <c r="T1946" s="2">
        <v>6</v>
      </c>
      <c r="U1946" s="2" t="str">
        <f>IF(T1946&lt;=1, "1",IF(AND(T1946&gt;1,T1946&lt;4), "2-3", "+4"))</f>
        <v>+4</v>
      </c>
      <c r="V1946" s="5"/>
      <c r="W1946" s="6" t="s">
        <v>2707</v>
      </c>
    </row>
    <row r="1947" spans="1:23" x14ac:dyDescent="0.15">
      <c r="A1947" s="2" t="s">
        <v>299</v>
      </c>
      <c r="B1947" s="2" t="s">
        <v>3939</v>
      </c>
      <c r="C1947" s="2" t="s">
        <v>1020</v>
      </c>
      <c r="D1947" s="2" t="s">
        <v>5143</v>
      </c>
      <c r="E1947" s="1"/>
      <c r="F1947" s="2" t="s">
        <v>455</v>
      </c>
      <c r="G1947" s="2" t="s">
        <v>374</v>
      </c>
      <c r="H1947" s="2" t="str">
        <f t="shared" si="66"/>
        <v>C</v>
      </c>
      <c r="I1947" s="5"/>
      <c r="J1947" s="5"/>
      <c r="K1947" s="5"/>
      <c r="L1947" s="5">
        <v>11.17</v>
      </c>
      <c r="M1947" s="2" t="s">
        <v>571</v>
      </c>
      <c r="N1947" s="5">
        <f>MEDIAN(55,68)</f>
        <v>61.5</v>
      </c>
      <c r="O1947" s="5"/>
      <c r="P1947" s="5"/>
      <c r="R1947" s="5"/>
      <c r="S1947" s="5"/>
      <c r="T1947" s="2" t="s">
        <v>399</v>
      </c>
      <c r="V1947" s="5"/>
      <c r="W1947" s="6" t="s">
        <v>3090</v>
      </c>
    </row>
    <row r="1948" spans="1:23" x14ac:dyDescent="0.15">
      <c r="A1948" s="2" t="s">
        <v>299</v>
      </c>
      <c r="B1948" s="2" t="s">
        <v>3939</v>
      </c>
      <c r="C1948" s="2" t="s">
        <v>1020</v>
      </c>
      <c r="D1948" s="2" t="s">
        <v>5143</v>
      </c>
      <c r="E1948" s="1"/>
      <c r="F1948" s="2" t="s">
        <v>2287</v>
      </c>
      <c r="G1948" s="2" t="s">
        <v>374</v>
      </c>
      <c r="H1948" s="2" t="str">
        <f t="shared" si="66"/>
        <v>C</v>
      </c>
      <c r="I1948" s="5"/>
      <c r="J1948" s="5"/>
      <c r="K1948" s="5"/>
      <c r="L1948" s="5">
        <v>11.17</v>
      </c>
      <c r="M1948" s="2" t="s">
        <v>571</v>
      </c>
      <c r="N1948" s="5">
        <f>MEDIAN(55,68)</f>
        <v>61.5</v>
      </c>
      <c r="O1948" s="5">
        <f>MEDIAN(55,68)</f>
        <v>61.5</v>
      </c>
      <c r="P1948" s="5"/>
      <c r="R1948" s="5"/>
      <c r="S1948" s="5"/>
      <c r="T1948" s="9">
        <f>MEDIAN(2,4)</f>
        <v>3</v>
      </c>
      <c r="U1948" s="2" t="str">
        <f>IF(T1948&lt;=1, "1",IF(AND(T1948&gt;1,T1948&lt;4), "2-3", "+4"))</f>
        <v>2-3</v>
      </c>
      <c r="V1948" s="5"/>
      <c r="W1948" s="6" t="s">
        <v>2706</v>
      </c>
    </row>
    <row r="1949" spans="1:23" x14ac:dyDescent="0.15">
      <c r="A1949" s="2" t="s">
        <v>299</v>
      </c>
      <c r="B1949" s="2" t="s">
        <v>3939</v>
      </c>
      <c r="C1949" s="2" t="s">
        <v>1020</v>
      </c>
      <c r="D1949" s="2" t="s">
        <v>5143</v>
      </c>
      <c r="E1949" s="1"/>
      <c r="F1949" s="2" t="s">
        <v>371</v>
      </c>
      <c r="G1949" s="2" t="s">
        <v>374</v>
      </c>
      <c r="H1949" s="2" t="str">
        <f t="shared" si="66"/>
        <v>C</v>
      </c>
      <c r="I1949" s="5"/>
      <c r="J1949" s="5"/>
      <c r="K1949" s="5"/>
      <c r="L1949" s="5">
        <v>12</v>
      </c>
      <c r="M1949" s="2" t="s">
        <v>571</v>
      </c>
      <c r="N1949" s="5">
        <f>MEDIAN(57.6,68.8)</f>
        <v>63.2</v>
      </c>
      <c r="O1949" s="5">
        <f>MEDIAN(54.2,56.3)</f>
        <v>55.25</v>
      </c>
      <c r="P1949" s="5">
        <f>MEDIAN(98.8,113.9)</f>
        <v>106.35</v>
      </c>
      <c r="Q1949" s="2" t="s">
        <v>18</v>
      </c>
      <c r="R1949" s="5">
        <v>1276.2</v>
      </c>
      <c r="S1949" s="5"/>
      <c r="V1949" s="5"/>
      <c r="W1949" s="6" t="s">
        <v>2708</v>
      </c>
    </row>
    <row r="1950" spans="1:23" x14ac:dyDescent="0.15">
      <c r="A1950" s="2" t="s">
        <v>299</v>
      </c>
      <c r="B1950" s="2" t="s">
        <v>3939</v>
      </c>
      <c r="C1950" s="2" t="s">
        <v>1020</v>
      </c>
      <c r="D1950" s="2" t="s">
        <v>5143</v>
      </c>
      <c r="E1950" s="1"/>
      <c r="F1950" s="2" t="s">
        <v>455</v>
      </c>
      <c r="G1950" s="2" t="s">
        <v>374</v>
      </c>
      <c r="H1950" s="2" t="str">
        <f t="shared" si="66"/>
        <v>C</v>
      </c>
      <c r="I1950" s="5"/>
      <c r="J1950" s="5"/>
      <c r="K1950" s="5"/>
      <c r="L1950" s="5">
        <v>15.5</v>
      </c>
      <c r="M1950" s="2" t="s">
        <v>571</v>
      </c>
      <c r="N1950" s="5">
        <v>59.63</v>
      </c>
      <c r="O1950" s="5">
        <v>55.83</v>
      </c>
      <c r="P1950" s="5">
        <v>109.98</v>
      </c>
      <c r="Q1950" s="2" t="s">
        <v>18</v>
      </c>
      <c r="R1950" s="5">
        <v>1704.69</v>
      </c>
      <c r="S1950" s="5"/>
      <c r="T1950" s="5">
        <v>2</v>
      </c>
      <c r="U1950" s="2" t="str">
        <f>IF(T1950&lt;=1, "1",IF(AND(T1950&gt;1,T1950&lt;4), "2-3", "+4"))</f>
        <v>2-3</v>
      </c>
      <c r="V1950" s="5"/>
      <c r="W1950" s="6" t="s">
        <v>2710</v>
      </c>
    </row>
    <row r="1951" spans="1:23" x14ac:dyDescent="0.15">
      <c r="A1951" s="2" t="s">
        <v>299</v>
      </c>
      <c r="B1951" s="2" t="s">
        <v>3939</v>
      </c>
      <c r="C1951" s="2" t="s">
        <v>1020</v>
      </c>
      <c r="D1951" s="2" t="s">
        <v>5143</v>
      </c>
      <c r="E1951" s="1"/>
      <c r="F1951" s="2" t="s">
        <v>374</v>
      </c>
      <c r="G1951" s="2" t="s">
        <v>374</v>
      </c>
      <c r="H1951" s="2" t="str">
        <f t="shared" si="66"/>
        <v>C</v>
      </c>
      <c r="I1951" s="5"/>
      <c r="J1951" s="5"/>
      <c r="K1951" s="5"/>
      <c r="L1951" s="7">
        <v>13.5</v>
      </c>
      <c r="M1951" s="2" t="s">
        <v>571</v>
      </c>
      <c r="N1951" s="5"/>
      <c r="O1951" s="7"/>
      <c r="P1951" s="5"/>
      <c r="R1951" s="5"/>
      <c r="S1951" s="5"/>
      <c r="T1951" s="9">
        <v>3</v>
      </c>
      <c r="U1951" s="2" t="str">
        <f>IF(T1951&lt;=1, "1",IF(AND(T1951&gt;1,T1951&lt;4), "2-3", "+4"))</f>
        <v>2-3</v>
      </c>
      <c r="V1951" s="5"/>
      <c r="W1951" s="6" t="s">
        <v>2722</v>
      </c>
    </row>
    <row r="1952" spans="1:23" x14ac:dyDescent="0.15">
      <c r="A1952" s="2" t="s">
        <v>299</v>
      </c>
      <c r="B1952" s="2" t="s">
        <v>3939</v>
      </c>
      <c r="C1952" s="2" t="s">
        <v>1020</v>
      </c>
      <c r="D1952" s="2" t="s">
        <v>5143</v>
      </c>
      <c r="E1952" s="1"/>
      <c r="F1952" s="2" t="s">
        <v>455</v>
      </c>
      <c r="G1952" s="2" t="s">
        <v>374</v>
      </c>
      <c r="H1952" s="2" t="str">
        <f t="shared" si="66"/>
        <v>C</v>
      </c>
      <c r="I1952" s="5"/>
      <c r="J1952" s="5"/>
      <c r="K1952" s="5"/>
      <c r="L1952" s="5"/>
      <c r="M1952" s="2" t="s">
        <v>571</v>
      </c>
      <c r="N1952" s="5">
        <v>58.07</v>
      </c>
      <c r="O1952" s="5">
        <v>55.9</v>
      </c>
      <c r="P1952" s="5">
        <v>102.3</v>
      </c>
      <c r="Q1952" s="2" t="s">
        <v>18</v>
      </c>
      <c r="R1952" s="5"/>
      <c r="S1952" s="5"/>
      <c r="T1952" s="5"/>
      <c r="U1952" s="5"/>
      <c r="V1952" s="5"/>
      <c r="W1952" s="6" t="s">
        <v>2709</v>
      </c>
    </row>
    <row r="1953" spans="1:23" x14ac:dyDescent="0.15">
      <c r="A1953" s="2" t="s">
        <v>299</v>
      </c>
      <c r="B1953" s="2" t="s">
        <v>3939</v>
      </c>
      <c r="C1953" s="2" t="s">
        <v>1020</v>
      </c>
      <c r="D1953" s="2" t="s">
        <v>5143</v>
      </c>
      <c r="E1953" s="1" t="s">
        <v>5148</v>
      </c>
      <c r="F1953" s="2" t="s">
        <v>29</v>
      </c>
      <c r="H1953" s="2" t="s">
        <v>3887</v>
      </c>
      <c r="I1953" s="5"/>
      <c r="J1953" s="5"/>
      <c r="K1953" s="5"/>
      <c r="L1953" s="5"/>
      <c r="M1953" s="2" t="s">
        <v>571</v>
      </c>
      <c r="N1953" s="5"/>
      <c r="O1953" s="5"/>
      <c r="P1953" s="5"/>
      <c r="R1953" s="5"/>
      <c r="S1953" s="5"/>
      <c r="V1953" s="5"/>
      <c r="W1953" s="6" t="s">
        <v>838</v>
      </c>
    </row>
    <row r="1954" spans="1:23" x14ac:dyDescent="0.15">
      <c r="A1954" s="1" t="s">
        <v>299</v>
      </c>
      <c r="B1954" s="2" t="s">
        <v>3939</v>
      </c>
      <c r="C1954" s="2" t="s">
        <v>1020</v>
      </c>
      <c r="D1954" s="1" t="s">
        <v>5143</v>
      </c>
      <c r="E1954" s="1" t="s">
        <v>5149</v>
      </c>
      <c r="F1954" s="1" t="s">
        <v>3619</v>
      </c>
      <c r="G1954" s="1">
        <v>-1.37</v>
      </c>
      <c r="H1954" s="2" t="str">
        <f t="shared" si="66"/>
        <v>W</v>
      </c>
      <c r="I1954" s="8"/>
      <c r="J1954" s="8"/>
      <c r="K1954" s="8"/>
      <c r="L1954" s="8">
        <v>5.67</v>
      </c>
      <c r="M1954" s="8" t="s">
        <v>571</v>
      </c>
      <c r="N1954" s="8"/>
      <c r="O1954" s="8"/>
      <c r="P1954" s="8"/>
      <c r="Q1954" s="1"/>
      <c r="R1954" s="8"/>
      <c r="S1954" s="8"/>
      <c r="T1954" s="27">
        <f>MEDIAN(3,4)</f>
        <v>3.5</v>
      </c>
      <c r="U1954" s="2" t="str">
        <f>IF(T1954&lt;=1, "1",IF(AND(T1954&gt;1,T1954&lt;4), "2-3", "+4"))</f>
        <v>2-3</v>
      </c>
      <c r="V1954" s="8"/>
      <c r="W1954" s="6" t="s">
        <v>3633</v>
      </c>
    </row>
    <row r="1955" spans="1:23" x14ac:dyDescent="0.15">
      <c r="A1955" s="1" t="s">
        <v>299</v>
      </c>
      <c r="B1955" s="2" t="s">
        <v>3939</v>
      </c>
      <c r="C1955" s="2" t="s">
        <v>1020</v>
      </c>
      <c r="D1955" s="1" t="s">
        <v>5143</v>
      </c>
      <c r="E1955" s="1" t="s">
        <v>5149</v>
      </c>
      <c r="F1955" s="1" t="s">
        <v>3619</v>
      </c>
      <c r="G1955" s="1">
        <v>-1.37</v>
      </c>
      <c r="H1955" s="2" t="str">
        <f t="shared" si="66"/>
        <v>W</v>
      </c>
      <c r="I1955" s="8"/>
      <c r="J1955" s="8"/>
      <c r="K1955" s="23">
        <f>MEDIAN(16,19)</f>
        <v>17.5</v>
      </c>
      <c r="L1955" s="8"/>
      <c r="M1955" s="8" t="s">
        <v>571</v>
      </c>
      <c r="N1955" s="8"/>
      <c r="O1955" s="8"/>
      <c r="P1955" s="8"/>
      <c r="Q1955" s="1"/>
      <c r="R1955" s="8"/>
      <c r="S1955" s="8"/>
      <c r="T1955" s="27"/>
      <c r="U1955" s="27"/>
      <c r="V1955" s="8"/>
      <c r="W1955" s="6" t="s">
        <v>3634</v>
      </c>
    </row>
    <row r="1956" spans="1:23" x14ac:dyDescent="0.15">
      <c r="A1956" s="2" t="s">
        <v>299</v>
      </c>
      <c r="B1956" s="2" t="s">
        <v>3939</v>
      </c>
      <c r="C1956" s="2" t="s">
        <v>1020</v>
      </c>
      <c r="D1956" s="1" t="s">
        <v>5143</v>
      </c>
      <c r="E1956" s="1" t="s">
        <v>5149</v>
      </c>
      <c r="F1956" s="2" t="s">
        <v>2287</v>
      </c>
      <c r="G1956" s="2" t="s">
        <v>374</v>
      </c>
      <c r="H1956" s="2" t="str">
        <f t="shared" si="66"/>
        <v>C</v>
      </c>
      <c r="I1956" s="5"/>
      <c r="J1956" s="5"/>
      <c r="K1956" s="5"/>
      <c r="L1956" s="5">
        <v>5.93</v>
      </c>
      <c r="M1956" s="2" t="s">
        <v>571</v>
      </c>
      <c r="N1956" s="7"/>
      <c r="O1956" s="5"/>
      <c r="P1956" s="7"/>
      <c r="R1956" s="5"/>
      <c r="S1956" s="5"/>
      <c r="T1956" s="9"/>
      <c r="U1956" s="9"/>
      <c r="V1956" s="5"/>
      <c r="W1956" s="6" t="s">
        <v>2288</v>
      </c>
    </row>
    <row r="1957" spans="1:23" x14ac:dyDescent="0.15">
      <c r="A1957" s="2" t="s">
        <v>299</v>
      </c>
      <c r="B1957" s="2" t="s">
        <v>3939</v>
      </c>
      <c r="C1957" s="2" t="s">
        <v>1020</v>
      </c>
      <c r="D1957" s="1" t="s">
        <v>5143</v>
      </c>
      <c r="E1957" s="1" t="s">
        <v>5149</v>
      </c>
      <c r="F1957" s="2" t="s">
        <v>455</v>
      </c>
      <c r="G1957" s="2" t="s">
        <v>374</v>
      </c>
      <c r="H1957" s="2" t="str">
        <f t="shared" si="66"/>
        <v>C</v>
      </c>
      <c r="I1957" s="5"/>
      <c r="J1957" s="5"/>
      <c r="K1957" s="5"/>
      <c r="L1957" s="5">
        <v>7</v>
      </c>
      <c r="M1957" s="2" t="s">
        <v>571</v>
      </c>
      <c r="N1957" s="5"/>
      <c r="O1957" s="5"/>
      <c r="P1957" s="5"/>
      <c r="R1957" s="5"/>
      <c r="S1957" s="5"/>
      <c r="T1957" s="9">
        <f>MEDIAN(1,3)</f>
        <v>2</v>
      </c>
      <c r="U1957" s="2" t="str">
        <f>IF(T1957&lt;=1, "1",IF(AND(T1957&gt;1,T1957&lt;4), "2-3", "+4"))</f>
        <v>2-3</v>
      </c>
      <c r="V1957" s="5"/>
      <c r="W1957" s="6" t="s">
        <v>3443</v>
      </c>
    </row>
    <row r="1958" spans="1:23" x14ac:dyDescent="0.15">
      <c r="A1958" s="2" t="s">
        <v>299</v>
      </c>
      <c r="B1958" s="2" t="s">
        <v>3939</v>
      </c>
      <c r="C1958" s="2" t="s">
        <v>1020</v>
      </c>
      <c r="D1958" s="2" t="s">
        <v>5143</v>
      </c>
      <c r="E1958" s="1" t="s">
        <v>5150</v>
      </c>
      <c r="F1958" s="2" t="s">
        <v>29</v>
      </c>
      <c r="H1958" s="2" t="s">
        <v>3887</v>
      </c>
      <c r="I1958" s="5"/>
      <c r="J1958" s="5"/>
      <c r="K1958" s="5"/>
      <c r="L1958" s="5"/>
      <c r="M1958" s="2" t="s">
        <v>571</v>
      </c>
      <c r="N1958" s="5"/>
      <c r="O1958" s="5"/>
      <c r="P1958" s="5"/>
      <c r="R1958" s="5"/>
      <c r="S1958" s="5"/>
      <c r="V1958" s="5"/>
      <c r="W1958" s="6" t="s">
        <v>838</v>
      </c>
    </row>
    <row r="1959" spans="1:23" x14ac:dyDescent="0.15">
      <c r="A1959" s="2" t="s">
        <v>299</v>
      </c>
      <c r="B1959" s="2" t="s">
        <v>3939</v>
      </c>
      <c r="C1959" s="2" t="s">
        <v>1020</v>
      </c>
      <c r="D1959" s="2" t="s">
        <v>5143</v>
      </c>
      <c r="E1959" s="1" t="s">
        <v>5151</v>
      </c>
      <c r="F1959" s="2" t="s">
        <v>29</v>
      </c>
      <c r="H1959" s="2" t="s">
        <v>3887</v>
      </c>
      <c r="I1959" s="5"/>
      <c r="J1959" s="5"/>
      <c r="K1959" s="5"/>
      <c r="L1959" s="5"/>
      <c r="M1959" s="2" t="s">
        <v>571</v>
      </c>
      <c r="N1959" s="5"/>
      <c r="O1959" s="5"/>
      <c r="P1959" s="5"/>
      <c r="R1959" s="5"/>
      <c r="S1959" s="5"/>
      <c r="V1959" s="5"/>
      <c r="W1959" s="6" t="s">
        <v>838</v>
      </c>
    </row>
    <row r="1960" spans="1:23" x14ac:dyDescent="0.15">
      <c r="A1960" s="1" t="s">
        <v>299</v>
      </c>
      <c r="B1960" s="2" t="s">
        <v>3939</v>
      </c>
      <c r="C1960" s="2" t="s">
        <v>1020</v>
      </c>
      <c r="D1960" s="2" t="s">
        <v>5143</v>
      </c>
      <c r="E1960" s="1" t="s">
        <v>5152</v>
      </c>
      <c r="F1960" s="1" t="s">
        <v>3617</v>
      </c>
      <c r="G1960" s="1">
        <v>-0.64</v>
      </c>
      <c r="H1960" s="2" t="str">
        <f t="shared" si="66"/>
        <v>W</v>
      </c>
      <c r="I1960" s="8">
        <v>68.63</v>
      </c>
      <c r="J1960" s="8">
        <v>70000</v>
      </c>
      <c r="K1960" s="8"/>
      <c r="L1960" s="8">
        <v>9.3699999999999992</v>
      </c>
      <c r="M1960" s="1" t="s">
        <v>571</v>
      </c>
      <c r="N1960" s="5"/>
      <c r="O1960" s="8"/>
      <c r="P1960" s="8"/>
      <c r="Q1960" s="1"/>
      <c r="R1960" s="8"/>
      <c r="S1960" s="8"/>
      <c r="T1960" s="1" t="s">
        <v>372</v>
      </c>
      <c r="U1960" s="40" t="s">
        <v>395</v>
      </c>
      <c r="V1960" s="8"/>
      <c r="W1960" s="6" t="s">
        <v>3632</v>
      </c>
    </row>
    <row r="1961" spans="1:23" x14ac:dyDescent="0.15">
      <c r="A1961" s="2" t="s">
        <v>299</v>
      </c>
      <c r="B1961" s="2" t="s">
        <v>3939</v>
      </c>
      <c r="C1961" s="2" t="s">
        <v>1020</v>
      </c>
      <c r="D1961" s="2" t="s">
        <v>5143</v>
      </c>
      <c r="E1961" s="1" t="s">
        <v>5152</v>
      </c>
      <c r="F1961" s="2" t="s">
        <v>303</v>
      </c>
      <c r="G1961" s="2">
        <v>-0.7</v>
      </c>
      <c r="H1961" s="2" t="str">
        <f t="shared" si="66"/>
        <v>W</v>
      </c>
      <c r="I1961" s="5"/>
      <c r="J1961" s="5"/>
      <c r="K1961" s="5"/>
      <c r="L1961" s="5">
        <v>6.54</v>
      </c>
      <c r="M1961" s="2" t="s">
        <v>571</v>
      </c>
      <c r="N1961" s="5"/>
      <c r="O1961" s="5"/>
      <c r="P1961" s="5"/>
      <c r="R1961" s="5"/>
      <c r="S1961" s="5"/>
      <c r="V1961" s="5"/>
      <c r="W1961" s="6" t="s">
        <v>2089</v>
      </c>
    </row>
    <row r="1962" spans="1:23" x14ac:dyDescent="0.15">
      <c r="A1962" s="1" t="s">
        <v>299</v>
      </c>
      <c r="B1962" s="2" t="s">
        <v>3939</v>
      </c>
      <c r="C1962" s="2" t="s">
        <v>1020</v>
      </c>
      <c r="D1962" s="2" t="s">
        <v>5143</v>
      </c>
      <c r="E1962" s="1" t="s">
        <v>5153</v>
      </c>
      <c r="F1962" s="1" t="s">
        <v>3616</v>
      </c>
      <c r="G1962" s="1">
        <v>-0.42</v>
      </c>
      <c r="H1962" s="2" t="str">
        <f t="shared" si="66"/>
        <v>W</v>
      </c>
      <c r="I1962" s="8"/>
      <c r="J1962" s="8"/>
      <c r="K1962" s="8"/>
      <c r="L1962" s="8">
        <v>13.31</v>
      </c>
      <c r="M1962" s="1" t="s">
        <v>571</v>
      </c>
      <c r="N1962" s="8"/>
      <c r="O1962" s="8"/>
      <c r="P1962" s="8"/>
      <c r="Q1962" s="1"/>
      <c r="R1962" s="8"/>
      <c r="S1962" s="8"/>
      <c r="T1962" s="1"/>
      <c r="U1962" s="1"/>
      <c r="V1962" s="8"/>
      <c r="W1962" s="6" t="s">
        <v>3635</v>
      </c>
    </row>
    <row r="1963" spans="1:23" x14ac:dyDescent="0.15">
      <c r="A1963" s="2" t="s">
        <v>299</v>
      </c>
      <c r="B1963" s="2" t="s">
        <v>3939</v>
      </c>
      <c r="C1963" s="2" t="s">
        <v>1020</v>
      </c>
      <c r="D1963" s="2" t="s">
        <v>5143</v>
      </c>
      <c r="E1963" s="1" t="s">
        <v>5153</v>
      </c>
      <c r="F1963" s="2" t="s">
        <v>455</v>
      </c>
      <c r="G1963" s="2">
        <v>-0.42</v>
      </c>
      <c r="H1963" s="2" t="str">
        <f t="shared" si="66"/>
        <v>W</v>
      </c>
      <c r="I1963" s="5"/>
      <c r="J1963" s="5"/>
      <c r="K1963" s="5"/>
      <c r="L1963" s="5">
        <v>13.3</v>
      </c>
      <c r="M1963" s="2" t="s">
        <v>571</v>
      </c>
      <c r="N1963" s="5"/>
      <c r="O1963" s="5"/>
      <c r="P1963" s="5"/>
      <c r="R1963" s="5"/>
      <c r="S1963" s="5"/>
      <c r="V1963" s="5"/>
      <c r="W1963" s="6" t="s">
        <v>3444</v>
      </c>
    </row>
    <row r="1964" spans="1:23" x14ac:dyDescent="0.15">
      <c r="A1964" s="1" t="s">
        <v>299</v>
      </c>
      <c r="B1964" s="2" t="s">
        <v>3939</v>
      </c>
      <c r="C1964" s="2" t="s">
        <v>1020</v>
      </c>
      <c r="D1964" s="2" t="s">
        <v>5143</v>
      </c>
      <c r="E1964" s="1" t="s">
        <v>5153</v>
      </c>
      <c r="F1964" s="1" t="s">
        <v>3616</v>
      </c>
      <c r="G1964" s="1">
        <v>-0.42</v>
      </c>
      <c r="H1964" s="2" t="str">
        <f t="shared" si="66"/>
        <v>W</v>
      </c>
      <c r="I1964" s="8">
        <v>70.099999999999994</v>
      </c>
      <c r="J1964" s="8">
        <v>75000</v>
      </c>
      <c r="K1964" s="8"/>
      <c r="L1964" s="8"/>
      <c r="M1964" s="1" t="s">
        <v>571</v>
      </c>
      <c r="N1964" s="8"/>
      <c r="O1964" s="8"/>
      <c r="P1964" s="8"/>
      <c r="Q1964" s="1"/>
      <c r="R1964" s="8"/>
      <c r="S1964" s="8"/>
      <c r="T1964" s="1"/>
      <c r="U1964" s="1"/>
      <c r="V1964" s="8"/>
      <c r="W1964" s="6" t="s">
        <v>3631</v>
      </c>
    </row>
    <row r="1965" spans="1:23" x14ac:dyDescent="0.15">
      <c r="A1965" s="1" t="s">
        <v>299</v>
      </c>
      <c r="B1965" s="2" t="s">
        <v>3939</v>
      </c>
      <c r="C1965" s="2" t="s">
        <v>1020</v>
      </c>
      <c r="D1965" s="2" t="s">
        <v>5143</v>
      </c>
      <c r="E1965" s="1" t="s">
        <v>3492</v>
      </c>
      <c r="F1965" s="1" t="s">
        <v>3618</v>
      </c>
      <c r="G1965" s="1">
        <v>-0.93</v>
      </c>
      <c r="H1965" s="2" t="str">
        <f t="shared" si="66"/>
        <v>W</v>
      </c>
      <c r="I1965" s="8">
        <v>73.86</v>
      </c>
      <c r="J1965" s="5">
        <v>35000</v>
      </c>
      <c r="K1965" s="8"/>
      <c r="L1965" s="8"/>
      <c r="M1965" s="1" t="s">
        <v>571</v>
      </c>
      <c r="N1965" s="8"/>
      <c r="O1965" s="8"/>
      <c r="P1965" s="8"/>
      <c r="Q1965" s="1"/>
      <c r="R1965" s="8"/>
      <c r="S1965" s="8"/>
      <c r="T1965" s="1"/>
      <c r="U1965" s="1"/>
      <c r="V1965" s="8"/>
      <c r="W1965" s="6" t="s">
        <v>3631</v>
      </c>
    </row>
    <row r="1966" spans="1:23" x14ac:dyDescent="0.15">
      <c r="A1966" s="1" t="s">
        <v>299</v>
      </c>
      <c r="B1966" s="2" t="s">
        <v>3939</v>
      </c>
      <c r="C1966" s="2" t="s">
        <v>1020</v>
      </c>
      <c r="D1966" s="2" t="s">
        <v>5143</v>
      </c>
      <c r="E1966" s="1" t="s">
        <v>3492</v>
      </c>
      <c r="F1966" s="1" t="s">
        <v>3618</v>
      </c>
      <c r="G1966" s="1">
        <v>-0.93</v>
      </c>
      <c r="H1966" s="2" t="str">
        <f t="shared" si="66"/>
        <v>W</v>
      </c>
      <c r="I1966" s="8"/>
      <c r="J1966" s="8"/>
      <c r="K1966" s="8"/>
      <c r="L1966" s="8">
        <v>12</v>
      </c>
      <c r="M1966" s="8" t="s">
        <v>571</v>
      </c>
      <c r="N1966" s="8"/>
      <c r="O1966" s="8"/>
      <c r="P1966" s="8"/>
      <c r="Q1966" s="1"/>
      <c r="R1966" s="8"/>
      <c r="S1966" s="8"/>
      <c r="T1966" s="1"/>
      <c r="U1966" s="1"/>
      <c r="V1966" s="8"/>
      <c r="W1966" s="6" t="s">
        <v>3639</v>
      </c>
    </row>
    <row r="1967" spans="1:23" x14ac:dyDescent="0.15">
      <c r="A1967" s="2" t="s">
        <v>299</v>
      </c>
      <c r="B1967" s="2" t="s">
        <v>3939</v>
      </c>
      <c r="C1967" s="2" t="s">
        <v>3519</v>
      </c>
      <c r="D1967" s="2" t="s">
        <v>805</v>
      </c>
      <c r="E1967" s="1"/>
      <c r="F1967" s="2" t="s">
        <v>374</v>
      </c>
      <c r="G1967" s="2" t="s">
        <v>374</v>
      </c>
      <c r="H1967" s="2" t="str">
        <f t="shared" si="66"/>
        <v>C</v>
      </c>
      <c r="I1967" s="5">
        <v>17.2</v>
      </c>
      <c r="J1967" s="5">
        <v>940</v>
      </c>
      <c r="K1967" s="5"/>
      <c r="L1967" s="7">
        <v>1</v>
      </c>
      <c r="M1967" s="5" t="s">
        <v>571</v>
      </c>
      <c r="N1967" s="5">
        <v>44</v>
      </c>
      <c r="O1967" s="7">
        <v>39</v>
      </c>
      <c r="P1967" s="5">
        <v>38.494</v>
      </c>
      <c r="Q1967" s="2" t="s">
        <v>376</v>
      </c>
      <c r="R1967" s="5">
        <v>38.494</v>
      </c>
      <c r="S1967" s="5">
        <v>4.0949999999999998</v>
      </c>
      <c r="T1967" s="9" t="s">
        <v>893</v>
      </c>
      <c r="U1967" s="40" t="s">
        <v>4047</v>
      </c>
      <c r="V1967" s="5"/>
      <c r="W1967" s="6" t="s">
        <v>2702</v>
      </c>
    </row>
    <row r="1968" spans="1:23" x14ac:dyDescent="0.15">
      <c r="A1968" s="2" t="s">
        <v>299</v>
      </c>
      <c r="B1968" s="2" t="s">
        <v>3939</v>
      </c>
      <c r="C1968" s="2" t="s">
        <v>3519</v>
      </c>
      <c r="D1968" s="2" t="s">
        <v>805</v>
      </c>
      <c r="E1968" s="1"/>
      <c r="F1968" s="2" t="s">
        <v>304</v>
      </c>
      <c r="G1968" s="2">
        <v>-33</v>
      </c>
      <c r="H1968" s="2" t="s">
        <v>3887</v>
      </c>
      <c r="I1968" s="5"/>
      <c r="J1968" s="5"/>
      <c r="K1968" s="5">
        <v>6.5</v>
      </c>
      <c r="L1968" s="7"/>
      <c r="M1968" s="5" t="s">
        <v>571</v>
      </c>
      <c r="N1968" s="5"/>
      <c r="O1968" s="7"/>
      <c r="P1968" s="5"/>
      <c r="R1968" s="5"/>
      <c r="S1968" s="5"/>
      <c r="T1968" s="9"/>
      <c r="U1968" s="40"/>
      <c r="V1968" s="5"/>
      <c r="W1968" s="6" t="s">
        <v>4094</v>
      </c>
    </row>
    <row r="1969" spans="1:23" x14ac:dyDescent="0.15">
      <c r="A1969" s="4" t="s">
        <v>299</v>
      </c>
      <c r="B1969" s="2" t="s">
        <v>3939</v>
      </c>
      <c r="C1969" s="4" t="s">
        <v>3519</v>
      </c>
      <c r="D1969" s="4" t="s">
        <v>805</v>
      </c>
      <c r="E1969" s="1"/>
      <c r="F1969" s="4" t="s">
        <v>304</v>
      </c>
      <c r="G1969" s="4">
        <v>-34</v>
      </c>
      <c r="H1969" s="2" t="str">
        <f t="shared" ref="H1969:H2010" si="67">IF(G1969="captive","C","W")</f>
        <v>W</v>
      </c>
      <c r="I1969" s="33">
        <v>15</v>
      </c>
      <c r="J1969" s="33">
        <v>600</v>
      </c>
      <c r="K1969" s="33">
        <v>7</v>
      </c>
      <c r="L1969" s="33">
        <v>1</v>
      </c>
      <c r="M1969" s="4" t="s">
        <v>571</v>
      </c>
      <c r="N1969" s="33"/>
      <c r="O1969" s="33"/>
      <c r="P1969" s="5">
        <v>27.5</v>
      </c>
      <c r="Q1969" s="4" t="s">
        <v>18</v>
      </c>
      <c r="R1969" s="33">
        <v>27.5</v>
      </c>
      <c r="S1969" s="33">
        <v>4.58</v>
      </c>
      <c r="T1969" s="4">
        <v>4</v>
      </c>
      <c r="U1969" s="2" t="str">
        <f>IF(T1969&lt;=1, "1",IF(AND(T1969&gt;1,T1969&lt;4), "2-3", "+4"))</f>
        <v>+4</v>
      </c>
      <c r="V1969" s="33">
        <f>T1969*S1969</f>
        <v>18.32</v>
      </c>
      <c r="W1969" s="10" t="s">
        <v>1860</v>
      </c>
    </row>
    <row r="1970" spans="1:23" x14ac:dyDescent="0.15">
      <c r="A1970" s="2" t="s">
        <v>299</v>
      </c>
      <c r="B1970" s="2" t="s">
        <v>3939</v>
      </c>
      <c r="C1970" s="2" t="s">
        <v>3519</v>
      </c>
      <c r="D1970" s="2" t="s">
        <v>805</v>
      </c>
      <c r="E1970" s="1"/>
      <c r="F1970" s="2" t="s">
        <v>374</v>
      </c>
      <c r="G1970" s="2" t="s">
        <v>374</v>
      </c>
      <c r="H1970" s="2" t="str">
        <f t="shared" si="67"/>
        <v>C</v>
      </c>
      <c r="I1970" s="5"/>
      <c r="J1970" s="5"/>
      <c r="K1970" s="5"/>
      <c r="L1970" s="5">
        <v>1</v>
      </c>
      <c r="M1970" s="5" t="s">
        <v>571</v>
      </c>
      <c r="N1970" s="5"/>
      <c r="O1970" s="5"/>
      <c r="P1970" s="5"/>
      <c r="R1970" s="5"/>
      <c r="S1970" s="5"/>
      <c r="T1970" s="9">
        <f>MEDIAN(2,3)</f>
        <v>2.5</v>
      </c>
      <c r="U1970" s="2" t="str">
        <f>IF(T1970&lt;=1, "1",IF(AND(T1970&gt;1,T1970&lt;4), "2-3", "+4"))</f>
        <v>2-3</v>
      </c>
      <c r="V1970" s="5"/>
      <c r="W1970" s="6" t="s">
        <v>2701</v>
      </c>
    </row>
    <row r="1971" spans="1:23" x14ac:dyDescent="0.15">
      <c r="A1971" s="2" t="s">
        <v>299</v>
      </c>
      <c r="B1971" s="2" t="s">
        <v>3939</v>
      </c>
      <c r="C1971" s="2" t="s">
        <v>3519</v>
      </c>
      <c r="D1971" s="2" t="s">
        <v>805</v>
      </c>
      <c r="E1971" s="1"/>
      <c r="F1971" s="2" t="s">
        <v>304</v>
      </c>
      <c r="G1971" s="2">
        <v>-33</v>
      </c>
      <c r="H1971" s="2" t="str">
        <f t="shared" si="67"/>
        <v>W</v>
      </c>
      <c r="I1971" s="5">
        <f>MEDIAN(13.54,20.44)</f>
        <v>16.990000000000002</v>
      </c>
      <c r="J1971" s="5">
        <f xml:space="preserve"> 0.636*I1971^2.548</f>
        <v>866.94160405447667</v>
      </c>
      <c r="K1971" s="5"/>
      <c r="L1971" s="5">
        <v>1</v>
      </c>
      <c r="M1971" s="2" t="s">
        <v>571</v>
      </c>
      <c r="N1971" s="5"/>
      <c r="O1971" s="5"/>
      <c r="P1971" s="5"/>
      <c r="R1971" s="5"/>
      <c r="S1971" s="5"/>
      <c r="V1971" s="5"/>
      <c r="W1971" s="6" t="s">
        <v>2091</v>
      </c>
    </row>
    <row r="1972" spans="1:23" x14ac:dyDescent="0.15">
      <c r="A1972" s="2" t="s">
        <v>299</v>
      </c>
      <c r="B1972" s="2" t="s">
        <v>3939</v>
      </c>
      <c r="C1972" s="2" t="s">
        <v>3519</v>
      </c>
      <c r="D1972" s="2" t="s">
        <v>805</v>
      </c>
      <c r="E1972" s="1"/>
      <c r="F1972" s="2" t="s">
        <v>304</v>
      </c>
      <c r="H1972" s="2" t="s">
        <v>3887</v>
      </c>
      <c r="I1972" s="5"/>
      <c r="J1972" s="5"/>
      <c r="K1972" s="5"/>
      <c r="L1972" s="5">
        <v>1</v>
      </c>
      <c r="M1972" s="5" t="s">
        <v>571</v>
      </c>
      <c r="N1972" s="5">
        <v>34.130000000000003</v>
      </c>
      <c r="O1972" s="5">
        <v>29.29</v>
      </c>
      <c r="P1972" s="5">
        <v>16.28</v>
      </c>
      <c r="Q1972" s="2" t="s">
        <v>376</v>
      </c>
      <c r="R1972" s="5">
        <v>16.28</v>
      </c>
      <c r="S1972" s="5"/>
      <c r="V1972" s="5"/>
      <c r="W1972" s="6" t="s">
        <v>2627</v>
      </c>
    </row>
    <row r="1973" spans="1:23" x14ac:dyDescent="0.15">
      <c r="A1973" s="2" t="s">
        <v>299</v>
      </c>
      <c r="B1973" s="2" t="s">
        <v>3939</v>
      </c>
      <c r="C1973" s="2" t="s">
        <v>3519</v>
      </c>
      <c r="D1973" s="2" t="s">
        <v>805</v>
      </c>
      <c r="E1973" s="1"/>
      <c r="F1973" s="2" t="s">
        <v>374</v>
      </c>
      <c r="G1973" s="2" t="s">
        <v>374</v>
      </c>
      <c r="H1973" s="2" t="str">
        <f t="shared" si="67"/>
        <v>C</v>
      </c>
      <c r="I1973" s="5"/>
      <c r="J1973" s="5"/>
      <c r="K1973" s="5"/>
      <c r="L1973" s="5">
        <v>1</v>
      </c>
      <c r="M1973" s="2" t="s">
        <v>571</v>
      </c>
      <c r="N1973" s="5">
        <v>36</v>
      </c>
      <c r="O1973" s="5">
        <v>35</v>
      </c>
      <c r="P1973" s="5">
        <v>22.777000000000001</v>
      </c>
      <c r="Q1973" s="2" t="s">
        <v>376</v>
      </c>
      <c r="R1973" s="5">
        <f>P1973*L1973</f>
        <v>22.777000000000001</v>
      </c>
      <c r="S1973" s="5"/>
      <c r="T1973" s="2" t="s">
        <v>416</v>
      </c>
      <c r="U1973" s="40" t="s">
        <v>4047</v>
      </c>
      <c r="V1973" s="5"/>
      <c r="W1973" s="6" t="s">
        <v>2159</v>
      </c>
    </row>
    <row r="1974" spans="1:23" x14ac:dyDescent="0.15">
      <c r="A1974" s="2" t="s">
        <v>299</v>
      </c>
      <c r="B1974" s="2" t="s">
        <v>3939</v>
      </c>
      <c r="C1974" s="2" t="s">
        <v>3519</v>
      </c>
      <c r="D1974" s="2" t="s">
        <v>805</v>
      </c>
      <c r="E1974" s="1"/>
      <c r="F1974" s="2" t="s">
        <v>305</v>
      </c>
      <c r="G1974" s="2">
        <v>-33.21</v>
      </c>
      <c r="H1974" s="2" t="str">
        <f t="shared" si="67"/>
        <v>W</v>
      </c>
      <c r="I1974" s="5">
        <v>17</v>
      </c>
      <c r="J1974" s="5">
        <v>879</v>
      </c>
      <c r="K1974" s="5"/>
      <c r="L1974" s="5">
        <v>1.02</v>
      </c>
      <c r="M1974" s="2" t="s">
        <v>571</v>
      </c>
      <c r="N1974" s="5"/>
      <c r="O1974" s="5"/>
      <c r="P1974" s="5"/>
      <c r="R1974" s="5"/>
      <c r="S1974" s="5"/>
      <c r="T1974" s="2">
        <v>3.88</v>
      </c>
      <c r="U1974" s="2" t="str">
        <f>IF(T1974&lt;=1, "1",IF(AND(T1974&gt;1,T1974&lt;4), "2-3", "+4"))</f>
        <v>2-3</v>
      </c>
      <c r="V1974" s="5"/>
      <c r="W1974" s="6" t="s">
        <v>2090</v>
      </c>
    </row>
    <row r="1975" spans="1:23" x14ac:dyDescent="0.15">
      <c r="A1975" s="2" t="s">
        <v>299</v>
      </c>
      <c r="B1975" s="2" t="s">
        <v>3939</v>
      </c>
      <c r="C1975" s="2" t="s">
        <v>3519</v>
      </c>
      <c r="D1975" s="2" t="s">
        <v>805</v>
      </c>
      <c r="E1975" s="1"/>
      <c r="F1975" s="2" t="s">
        <v>306</v>
      </c>
      <c r="G1975" s="2">
        <v>-33.21</v>
      </c>
      <c r="H1975" s="2" t="str">
        <f t="shared" si="67"/>
        <v>W</v>
      </c>
      <c r="I1975" s="5">
        <v>17</v>
      </c>
      <c r="J1975" s="5">
        <v>879</v>
      </c>
      <c r="K1975" s="5"/>
      <c r="L1975" s="5">
        <v>1.02</v>
      </c>
      <c r="M1975" s="2" t="s">
        <v>571</v>
      </c>
      <c r="N1975" s="5"/>
      <c r="O1975" s="5"/>
      <c r="P1975" s="5"/>
      <c r="R1975" s="5"/>
      <c r="S1975" s="5"/>
      <c r="T1975" s="2">
        <v>4.3099999999999996</v>
      </c>
      <c r="U1975" s="2" t="str">
        <f>IF(T1975&lt;=1, "1",IF(AND(T1975&gt;1,T1975&lt;4), "2-3", "+4"))</f>
        <v>+4</v>
      </c>
      <c r="V1975" s="5"/>
      <c r="W1975" s="6" t="s">
        <v>2090</v>
      </c>
    </row>
    <row r="1976" spans="1:23" x14ac:dyDescent="0.15">
      <c r="A1976" s="2" t="s">
        <v>299</v>
      </c>
      <c r="B1976" s="2" t="s">
        <v>3939</v>
      </c>
      <c r="C1976" s="2" t="s">
        <v>3519</v>
      </c>
      <c r="D1976" s="2" t="s">
        <v>805</v>
      </c>
      <c r="E1976" s="1"/>
      <c r="F1976" s="2" t="s">
        <v>304</v>
      </c>
      <c r="H1976" s="2" t="s">
        <v>3887</v>
      </c>
      <c r="I1976" s="5">
        <v>15.8</v>
      </c>
      <c r="J1976" s="5">
        <f xml:space="preserve"> 0.636*I1976^2.548</f>
        <v>720.5023028097911</v>
      </c>
      <c r="K1976" s="5"/>
      <c r="L1976" s="7">
        <v>1.5</v>
      </c>
      <c r="M1976" s="7" t="s">
        <v>571</v>
      </c>
      <c r="N1976" s="7">
        <v>39.5</v>
      </c>
      <c r="O1976" s="5">
        <v>34.5</v>
      </c>
      <c r="P1976" s="5">
        <v>30</v>
      </c>
      <c r="Q1976" s="2" t="s">
        <v>18</v>
      </c>
      <c r="R1976" s="5">
        <f>P1976*L1976</f>
        <v>45</v>
      </c>
      <c r="S1976" s="5">
        <f>(R1976/J1976)*100</f>
        <v>6.2456427723423618</v>
      </c>
      <c r="T1976" s="9">
        <v>5</v>
      </c>
      <c r="U1976" s="2" t="str">
        <f>IF(T1976&lt;=1, "1",IF(AND(T1976&gt;1,T1976&lt;4), "2-3", "+4"))</f>
        <v>+4</v>
      </c>
      <c r="V1976" s="5">
        <v>31.23</v>
      </c>
      <c r="W1976" s="6" t="s">
        <v>1954</v>
      </c>
    </row>
    <row r="1977" spans="1:23" x14ac:dyDescent="0.15">
      <c r="A1977" s="2" t="s">
        <v>299</v>
      </c>
      <c r="B1977" s="2" t="s">
        <v>3939</v>
      </c>
      <c r="C1977" s="2" t="s">
        <v>3519</v>
      </c>
      <c r="D1977" s="2" t="s">
        <v>805</v>
      </c>
      <c r="E1977" s="1"/>
      <c r="F1977" s="2" t="s">
        <v>374</v>
      </c>
      <c r="G1977" s="2" t="s">
        <v>374</v>
      </c>
      <c r="H1977" s="2" t="str">
        <f t="shared" si="67"/>
        <v>C</v>
      </c>
      <c r="I1977" s="5"/>
      <c r="J1977" s="5"/>
      <c r="K1977" s="5"/>
      <c r="L1977" s="7">
        <v>1</v>
      </c>
      <c r="M1977" s="7" t="s">
        <v>571</v>
      </c>
      <c r="N1977" s="7">
        <v>38</v>
      </c>
      <c r="O1977" s="5">
        <v>31.5</v>
      </c>
      <c r="P1977" s="5">
        <v>17</v>
      </c>
      <c r="Q1977" s="2" t="s">
        <v>18</v>
      </c>
      <c r="R1977" s="5">
        <v>17</v>
      </c>
      <c r="S1977" s="5"/>
      <c r="T1977" s="9"/>
      <c r="U1977" s="9"/>
      <c r="V1977" s="5"/>
      <c r="W1977" s="6" t="s">
        <v>2703</v>
      </c>
    </row>
    <row r="1978" spans="1:23" x14ac:dyDescent="0.15">
      <c r="A1978" s="2" t="s">
        <v>299</v>
      </c>
      <c r="B1978" s="2" t="s">
        <v>3939</v>
      </c>
      <c r="C1978" s="2" t="s">
        <v>3519</v>
      </c>
      <c r="D1978" s="2" t="s">
        <v>805</v>
      </c>
      <c r="E1978" s="1"/>
      <c r="F1978" s="2" t="s">
        <v>374</v>
      </c>
      <c r="G1978" s="2" t="s">
        <v>374</v>
      </c>
      <c r="H1978" s="2" t="str">
        <f t="shared" si="67"/>
        <v>C</v>
      </c>
      <c r="I1978" s="5">
        <v>16.13</v>
      </c>
      <c r="J1978" s="5">
        <v>673.3</v>
      </c>
      <c r="K1978" s="5"/>
      <c r="L1978" s="5">
        <v>1</v>
      </c>
      <c r="M1978" s="5" t="s">
        <v>571</v>
      </c>
      <c r="N1978" s="5">
        <v>38</v>
      </c>
      <c r="O1978" s="5">
        <v>26</v>
      </c>
      <c r="P1978" s="5">
        <v>27</v>
      </c>
      <c r="Q1978" s="2" t="s">
        <v>18</v>
      </c>
      <c r="R1978" s="5">
        <v>27</v>
      </c>
      <c r="S1978" s="5">
        <v>4.01</v>
      </c>
      <c r="V1978" s="5"/>
      <c r="W1978" s="6" t="s">
        <v>3295</v>
      </c>
    </row>
    <row r="1979" spans="1:23" x14ac:dyDescent="0.15">
      <c r="A1979" s="2" t="s">
        <v>299</v>
      </c>
      <c r="B1979" s="2" t="s">
        <v>3939</v>
      </c>
      <c r="C1979" s="2" t="s">
        <v>1028</v>
      </c>
      <c r="D1979" s="2" t="s">
        <v>806</v>
      </c>
      <c r="E1979" s="1"/>
      <c r="F1979" s="2" t="s">
        <v>876</v>
      </c>
      <c r="G1979" s="2">
        <v>-24.65</v>
      </c>
      <c r="H1979" s="2" t="str">
        <f t="shared" si="67"/>
        <v>W</v>
      </c>
      <c r="I1979" s="5">
        <v>9.4</v>
      </c>
      <c r="J1979" s="5">
        <v>126</v>
      </c>
      <c r="K1979" s="5"/>
      <c r="L1979" s="5">
        <v>1</v>
      </c>
      <c r="M1979" s="2" t="s">
        <v>571</v>
      </c>
      <c r="N1979" s="5">
        <v>34.200000000000003</v>
      </c>
      <c r="O1979" s="5">
        <v>23.7</v>
      </c>
      <c r="P1979" s="5">
        <v>11.09</v>
      </c>
      <c r="Q1979" s="2" t="s">
        <v>18</v>
      </c>
      <c r="R1979" s="5">
        <v>11.09</v>
      </c>
      <c r="S1979" s="5">
        <v>8.8000000000000007</v>
      </c>
      <c r="V1979" s="5"/>
      <c r="W1979" s="6" t="s">
        <v>3247</v>
      </c>
    </row>
    <row r="1980" spans="1:23" x14ac:dyDescent="0.15">
      <c r="A1980" s="2" t="s">
        <v>299</v>
      </c>
      <c r="B1980" s="2" t="s">
        <v>3939</v>
      </c>
      <c r="C1980" s="2" t="s">
        <v>1028</v>
      </c>
      <c r="D1980" s="2" t="s">
        <v>806</v>
      </c>
      <c r="E1980" s="1"/>
      <c r="F1980" s="2" t="s">
        <v>304</v>
      </c>
      <c r="G1980" s="2">
        <v>-32</v>
      </c>
      <c r="H1980" s="2" t="str">
        <f t="shared" si="67"/>
        <v>W</v>
      </c>
      <c r="I1980" s="5"/>
      <c r="J1980" s="5"/>
      <c r="K1980" s="5"/>
      <c r="L1980" s="5">
        <v>1</v>
      </c>
      <c r="M1980" s="2" t="s">
        <v>571</v>
      </c>
      <c r="N1980" s="5">
        <v>39</v>
      </c>
      <c r="O1980" s="5">
        <v>22</v>
      </c>
      <c r="P1980" s="5">
        <f xml:space="preserve"> 0.372*N1980 + 0.949*O1980 - 23.83</f>
        <v>11.555999999999997</v>
      </c>
      <c r="Q1980" s="2" t="s">
        <v>376</v>
      </c>
      <c r="R1980" s="5">
        <f>P1980*L1980</f>
        <v>11.555999999999997</v>
      </c>
      <c r="S1980" s="5"/>
      <c r="V1980" s="5"/>
      <c r="W1980" s="6" t="s">
        <v>1954</v>
      </c>
    </row>
    <row r="1981" spans="1:23" x14ac:dyDescent="0.15">
      <c r="A1981" s="2" t="s">
        <v>299</v>
      </c>
      <c r="B1981" s="2" t="s">
        <v>3939</v>
      </c>
      <c r="C1981" s="2" t="s">
        <v>1028</v>
      </c>
      <c r="D1981" s="2" t="s">
        <v>806</v>
      </c>
      <c r="E1981" s="1"/>
      <c r="F1981" s="2" t="s">
        <v>374</v>
      </c>
      <c r="G1981" s="2" t="s">
        <v>374</v>
      </c>
      <c r="H1981" s="2" t="str">
        <f t="shared" si="67"/>
        <v>C</v>
      </c>
      <c r="I1981" s="5"/>
      <c r="J1981" s="5"/>
      <c r="K1981" s="5"/>
      <c r="L1981" s="5"/>
      <c r="M1981" s="2" t="s">
        <v>571</v>
      </c>
      <c r="N1981" s="5">
        <v>35</v>
      </c>
      <c r="O1981" s="5">
        <v>26</v>
      </c>
      <c r="P1981" s="5">
        <f xml:space="preserve"> 0.372*N1981 + 0.949*O1981 - 23.83</f>
        <v>13.864000000000004</v>
      </c>
      <c r="Q1981" s="2" t="s">
        <v>376</v>
      </c>
      <c r="R1981" s="5"/>
      <c r="S1981" s="5"/>
      <c r="V1981" s="5"/>
      <c r="W1981" s="6" t="s">
        <v>3248</v>
      </c>
    </row>
    <row r="1982" spans="1:23" x14ac:dyDescent="0.15">
      <c r="A1982" s="2" t="s">
        <v>299</v>
      </c>
      <c r="B1982" s="2" t="s">
        <v>3939</v>
      </c>
      <c r="C1982" s="2" t="s">
        <v>1028</v>
      </c>
      <c r="D1982" s="2" t="s">
        <v>424</v>
      </c>
      <c r="E1982" s="1"/>
      <c r="F1982" s="2" t="s">
        <v>374</v>
      </c>
      <c r="G1982" s="2" t="s">
        <v>374</v>
      </c>
      <c r="H1982" s="2" t="str">
        <f t="shared" si="67"/>
        <v>C</v>
      </c>
      <c r="I1982" s="5"/>
      <c r="J1982" s="5"/>
      <c r="K1982" s="5"/>
      <c r="L1982" s="5">
        <v>1</v>
      </c>
      <c r="M1982" s="2" t="s">
        <v>571</v>
      </c>
      <c r="N1982" s="5">
        <v>34.5</v>
      </c>
      <c r="O1982" s="5">
        <v>25.5</v>
      </c>
      <c r="P1982" s="5">
        <f xml:space="preserve"> 0.372*N1982 + 0.949*O1982 - 23.83</f>
        <v>13.203500000000005</v>
      </c>
      <c r="Q1982" s="2" t="s">
        <v>376</v>
      </c>
      <c r="R1982" s="5"/>
      <c r="S1982" s="5"/>
      <c r="V1982" s="5"/>
      <c r="W1982" s="6" t="s">
        <v>2646</v>
      </c>
    </row>
    <row r="1983" spans="1:23" x14ac:dyDescent="0.15">
      <c r="A1983" s="2" t="s">
        <v>299</v>
      </c>
      <c r="B1983" s="2" t="s">
        <v>3939</v>
      </c>
      <c r="C1983" s="2" t="s">
        <v>1028</v>
      </c>
      <c r="D1983" s="2" t="s">
        <v>424</v>
      </c>
      <c r="E1983" s="1"/>
      <c r="F1983" s="2" t="s">
        <v>304</v>
      </c>
      <c r="G1983" s="2">
        <v>-29.67</v>
      </c>
      <c r="H1983" s="2" t="str">
        <f t="shared" si="67"/>
        <v>W</v>
      </c>
      <c r="I1983" s="5">
        <v>9.44</v>
      </c>
      <c r="J1983" s="5">
        <v>159.6</v>
      </c>
      <c r="K1983" s="5"/>
      <c r="L1983" s="5">
        <v>1</v>
      </c>
      <c r="M1983" s="2" t="s">
        <v>571</v>
      </c>
      <c r="N1983" s="5"/>
      <c r="O1983" s="5"/>
      <c r="P1983" s="5"/>
      <c r="R1983" s="5"/>
      <c r="S1983" s="5"/>
      <c r="T1983" s="9">
        <f>MEDIAN(1,2)</f>
        <v>1.5</v>
      </c>
      <c r="U1983" s="2" t="str">
        <f>IF(T1983&lt;=1, "1",IF(AND(T1983&gt;1,T1983&lt;4), "2-3", "+4"))</f>
        <v>2-3</v>
      </c>
      <c r="V1983" s="5"/>
      <c r="W1983" s="6" t="s">
        <v>3138</v>
      </c>
    </row>
    <row r="1984" spans="1:23" x14ac:dyDescent="0.15">
      <c r="A1984" s="2" t="s">
        <v>299</v>
      </c>
      <c r="B1984" s="2" t="s">
        <v>3939</v>
      </c>
      <c r="C1984" s="2" t="s">
        <v>1028</v>
      </c>
      <c r="D1984" s="2" t="s">
        <v>424</v>
      </c>
      <c r="E1984" s="1"/>
      <c r="F1984" s="2" t="s">
        <v>304</v>
      </c>
      <c r="G1984" s="2" t="s">
        <v>374</v>
      </c>
      <c r="H1984" s="2" t="str">
        <f t="shared" si="67"/>
        <v>C</v>
      </c>
      <c r="I1984" s="5">
        <v>10.5</v>
      </c>
      <c r="J1984" s="5">
        <v>145</v>
      </c>
      <c r="K1984" s="5"/>
      <c r="L1984" s="5">
        <v>1</v>
      </c>
      <c r="M1984" s="2" t="s">
        <v>571</v>
      </c>
      <c r="N1984" s="5"/>
      <c r="O1984" s="5"/>
      <c r="P1984" s="5"/>
      <c r="R1984" s="5"/>
      <c r="S1984" s="5"/>
      <c r="T1984" s="9" t="s">
        <v>399</v>
      </c>
      <c r="U1984" s="9"/>
      <c r="V1984" s="5"/>
      <c r="W1984" s="6" t="s">
        <v>3139</v>
      </c>
    </row>
    <row r="1985" spans="1:23" x14ac:dyDescent="0.15">
      <c r="A1985" s="2" t="s">
        <v>299</v>
      </c>
      <c r="B1985" s="2" t="s">
        <v>3939</v>
      </c>
      <c r="C1985" s="2" t="s">
        <v>1028</v>
      </c>
      <c r="D1985" s="2" t="s">
        <v>424</v>
      </c>
      <c r="E1985" s="1"/>
      <c r="F1985" s="2" t="s">
        <v>374</v>
      </c>
      <c r="G1985" s="2" t="s">
        <v>374</v>
      </c>
      <c r="H1985" s="2" t="str">
        <f t="shared" si="67"/>
        <v>C</v>
      </c>
      <c r="I1985" s="5"/>
      <c r="J1985" s="5"/>
      <c r="K1985" s="7">
        <v>3.5</v>
      </c>
      <c r="L1985" s="7">
        <v>1</v>
      </c>
      <c r="M1985" s="2" t="s">
        <v>571</v>
      </c>
      <c r="N1985" s="5">
        <v>42.9</v>
      </c>
      <c r="O1985" s="5">
        <v>23</v>
      </c>
      <c r="P1985" s="5">
        <v>13</v>
      </c>
      <c r="Q1985" s="2" t="s">
        <v>18</v>
      </c>
      <c r="R1985" s="5">
        <v>13</v>
      </c>
      <c r="S1985" s="5"/>
      <c r="T1985" s="9"/>
      <c r="U1985" s="9"/>
      <c r="V1985" s="5"/>
      <c r="W1985" s="6" t="s">
        <v>2699</v>
      </c>
    </row>
    <row r="1986" spans="1:23" x14ac:dyDescent="0.15">
      <c r="A1986" s="2" t="s">
        <v>299</v>
      </c>
      <c r="B1986" s="2" t="s">
        <v>3939</v>
      </c>
      <c r="C1986" s="2" t="s">
        <v>1028</v>
      </c>
      <c r="D1986" s="2" t="s">
        <v>424</v>
      </c>
      <c r="E1986" s="1"/>
      <c r="F1986" s="2" t="s">
        <v>551</v>
      </c>
      <c r="G1986" s="2">
        <v>-29.6</v>
      </c>
      <c r="H1986" s="2" t="str">
        <f t="shared" si="67"/>
        <v>W</v>
      </c>
      <c r="I1986" s="5">
        <v>9.51</v>
      </c>
      <c r="J1986" s="5">
        <f xml:space="preserve"> 2.572*(I1986*10) - 34.364</f>
        <v>210.23319999999998</v>
      </c>
      <c r="K1986" s="5"/>
      <c r="L1986" s="5">
        <v>1</v>
      </c>
      <c r="M1986" s="2" t="s">
        <v>571</v>
      </c>
      <c r="N1986" s="5">
        <v>35.700000000000003</v>
      </c>
      <c r="O1986" s="5">
        <v>26.5</v>
      </c>
      <c r="P1986" s="5">
        <v>14.2</v>
      </c>
      <c r="Q1986" s="2" t="s">
        <v>18</v>
      </c>
      <c r="R1986" s="5">
        <v>14.2</v>
      </c>
      <c r="S1986" s="5">
        <f>(R1986/J1986)*100</f>
        <v>6.7544041569076629</v>
      </c>
      <c r="T1986" s="5"/>
      <c r="U1986" s="5"/>
      <c r="V1986" s="5"/>
      <c r="W1986" s="6" t="s">
        <v>2700</v>
      </c>
    </row>
    <row r="1987" spans="1:23" x14ac:dyDescent="0.15">
      <c r="A1987" s="2" t="s">
        <v>299</v>
      </c>
      <c r="B1987" s="2" t="s">
        <v>3939</v>
      </c>
      <c r="C1987" s="2" t="s">
        <v>1028</v>
      </c>
      <c r="D1987" s="2" t="s">
        <v>424</v>
      </c>
      <c r="E1987" s="1"/>
      <c r="F1987" s="2" t="s">
        <v>307</v>
      </c>
      <c r="G1987" s="2">
        <v>-29.6</v>
      </c>
      <c r="H1987" s="2" t="str">
        <f t="shared" si="67"/>
        <v>W</v>
      </c>
      <c r="I1987" s="5">
        <v>9.26</v>
      </c>
      <c r="J1987" s="5">
        <v>151.4</v>
      </c>
      <c r="K1987" s="5"/>
      <c r="L1987" s="5">
        <v>1</v>
      </c>
      <c r="M1987" s="2" t="s">
        <v>571</v>
      </c>
      <c r="N1987" s="5">
        <v>34.6</v>
      </c>
      <c r="O1987" s="5">
        <v>24.9</v>
      </c>
      <c r="P1987" s="5">
        <f xml:space="preserve"> 0.372*N1987 + 0.949*O1987 - 23.83</f>
        <v>12.671300000000002</v>
      </c>
      <c r="Q1987" s="2" t="s">
        <v>376</v>
      </c>
      <c r="R1987" s="5">
        <f>P1987*L1987</f>
        <v>12.671300000000002</v>
      </c>
      <c r="S1987" s="5">
        <f>(R1987/J1987)*100</f>
        <v>8.3694187582562769</v>
      </c>
      <c r="V1987" s="5"/>
      <c r="W1987" s="6" t="s">
        <v>1861</v>
      </c>
    </row>
    <row r="1988" spans="1:23" x14ac:dyDescent="0.15">
      <c r="A1988" s="2" t="s">
        <v>299</v>
      </c>
      <c r="B1988" s="2" t="s">
        <v>3939</v>
      </c>
      <c r="C1988" s="2" t="s">
        <v>1028</v>
      </c>
      <c r="D1988" s="2" t="s">
        <v>424</v>
      </c>
      <c r="E1988" s="1"/>
      <c r="F1988" s="2" t="s">
        <v>307</v>
      </c>
      <c r="G1988" s="2">
        <v>-29.6</v>
      </c>
      <c r="H1988" s="2" t="str">
        <f t="shared" si="67"/>
        <v>W</v>
      </c>
      <c r="I1988" s="5">
        <v>9.1980000000000004</v>
      </c>
      <c r="J1988" s="5">
        <v>146.56</v>
      </c>
      <c r="K1988" s="5"/>
      <c r="L1988" s="5">
        <v>1</v>
      </c>
      <c r="M1988" s="2" t="s">
        <v>571</v>
      </c>
      <c r="N1988" s="5">
        <v>34.799999999999997</v>
      </c>
      <c r="O1988" s="5">
        <v>24.96</v>
      </c>
      <c r="P1988" s="5">
        <f xml:space="preserve"> 0.372*N1988 + 0.949*O1988 - 23.83</f>
        <v>12.802639999999997</v>
      </c>
      <c r="Q1988" s="2" t="s">
        <v>376</v>
      </c>
      <c r="R1988" s="5">
        <f>P1988*L1988</f>
        <v>12.802639999999997</v>
      </c>
      <c r="S1988" s="5">
        <f>(R1988/J1988)*100</f>
        <v>8.7354257641921365</v>
      </c>
      <c r="T1988" s="2" t="s">
        <v>550</v>
      </c>
      <c r="U1988" s="2">
        <v>1</v>
      </c>
      <c r="V1988" s="5"/>
      <c r="W1988" s="6" t="s">
        <v>2092</v>
      </c>
    </row>
    <row r="1989" spans="1:23" x14ac:dyDescent="0.15">
      <c r="A1989" s="2" t="s">
        <v>299</v>
      </c>
      <c r="B1989" s="2" t="s">
        <v>3939</v>
      </c>
      <c r="C1989" s="2" t="s">
        <v>1028</v>
      </c>
      <c r="D1989" s="2" t="s">
        <v>424</v>
      </c>
      <c r="E1989" s="1"/>
      <c r="F1989" s="2" t="s">
        <v>304</v>
      </c>
      <c r="G1989" s="2">
        <v>-29.67</v>
      </c>
      <c r="H1989" s="2" t="str">
        <f t="shared" si="67"/>
        <v>W</v>
      </c>
      <c r="I1989" s="5"/>
      <c r="J1989" s="5"/>
      <c r="K1989" s="5">
        <v>11.5</v>
      </c>
      <c r="L1989" s="5"/>
      <c r="M1989" s="2" t="s">
        <v>571</v>
      </c>
      <c r="N1989" s="5"/>
      <c r="O1989" s="5"/>
      <c r="P1989" s="5"/>
      <c r="R1989" s="5"/>
      <c r="S1989" s="5"/>
      <c r="V1989" s="5"/>
      <c r="W1989" s="6" t="s">
        <v>4095</v>
      </c>
    </row>
    <row r="1990" spans="1:23" x14ac:dyDescent="0.15">
      <c r="A1990" s="2" t="s">
        <v>299</v>
      </c>
      <c r="B1990" s="2" t="s">
        <v>3939</v>
      </c>
      <c r="C1990" s="2" t="s">
        <v>1028</v>
      </c>
      <c r="D1990" s="2" t="s">
        <v>424</v>
      </c>
      <c r="E1990" s="1"/>
      <c r="F1990" s="2" t="s">
        <v>374</v>
      </c>
      <c r="G1990" s="2" t="s">
        <v>374</v>
      </c>
      <c r="H1990" s="2" t="str">
        <f t="shared" si="67"/>
        <v>C</v>
      </c>
      <c r="I1990" s="5"/>
      <c r="J1990" s="5"/>
      <c r="K1990" s="5"/>
      <c r="L1990" s="5"/>
      <c r="M1990" s="2" t="s">
        <v>571</v>
      </c>
      <c r="N1990" s="5">
        <v>34.5</v>
      </c>
      <c r="O1990" s="5">
        <v>25.5</v>
      </c>
      <c r="P1990" s="5">
        <f xml:space="preserve"> 0.372*N1990 + 0.949*O1990 - 23.83</f>
        <v>13.203500000000005</v>
      </c>
      <c r="Q1990" s="2" t="s">
        <v>376</v>
      </c>
      <c r="R1990" s="5"/>
      <c r="S1990" s="5"/>
      <c r="V1990" s="5"/>
      <c r="W1990" s="6" t="s">
        <v>3248</v>
      </c>
    </row>
    <row r="1991" spans="1:23" x14ac:dyDescent="0.15">
      <c r="A1991" s="2" t="s">
        <v>299</v>
      </c>
      <c r="B1991" s="2" t="s">
        <v>3939</v>
      </c>
      <c r="C1991" s="2" t="s">
        <v>1028</v>
      </c>
      <c r="D1991" s="2" t="s">
        <v>424</v>
      </c>
      <c r="E1991" s="1"/>
      <c r="F1991" s="2" t="s">
        <v>304</v>
      </c>
      <c r="G1991" s="2">
        <v>-31.3</v>
      </c>
      <c r="H1991" s="2" t="str">
        <f t="shared" si="67"/>
        <v>W</v>
      </c>
      <c r="I1991" s="5">
        <f xml:space="preserve"> ((J1991 + 34.364)/2.572)/10</f>
        <v>6.1766718506998446</v>
      </c>
      <c r="J1991" s="5">
        <v>124.5</v>
      </c>
      <c r="K1991" s="5"/>
      <c r="L1991" s="5">
        <v>1</v>
      </c>
      <c r="M1991" s="2" t="s">
        <v>571</v>
      </c>
      <c r="N1991" s="5">
        <v>35.5</v>
      </c>
      <c r="O1991" s="5">
        <v>22.6</v>
      </c>
      <c r="P1991" s="5">
        <v>11.5</v>
      </c>
      <c r="Q1991" s="2" t="s">
        <v>18</v>
      </c>
      <c r="R1991" s="5">
        <v>11.5</v>
      </c>
      <c r="S1991" s="5">
        <v>9.23</v>
      </c>
      <c r="V1991" s="5"/>
      <c r="W1991" s="6" t="s">
        <v>2698</v>
      </c>
    </row>
    <row r="1992" spans="1:23" x14ac:dyDescent="0.15">
      <c r="A1992" s="2" t="s">
        <v>299</v>
      </c>
      <c r="B1992" s="2" t="s">
        <v>3939</v>
      </c>
      <c r="C1992" s="2" t="s">
        <v>1028</v>
      </c>
      <c r="D1992" s="2" t="s">
        <v>632</v>
      </c>
      <c r="E1992" s="1"/>
      <c r="F1992" s="2" t="s">
        <v>374</v>
      </c>
      <c r="G1992" s="2" t="s">
        <v>374</v>
      </c>
      <c r="H1992" s="2" t="str">
        <f t="shared" si="67"/>
        <v>C</v>
      </c>
      <c r="I1992" s="5">
        <v>11.4</v>
      </c>
      <c r="J1992" s="5">
        <f xml:space="preserve"> 2.572*(I1992*10) - 34.364</f>
        <v>258.84400000000005</v>
      </c>
      <c r="K1992" s="7"/>
      <c r="L1992" s="7">
        <v>1</v>
      </c>
      <c r="M1992" s="2" t="s">
        <v>571</v>
      </c>
      <c r="N1992" s="5">
        <v>38.630000000000003</v>
      </c>
      <c r="O1992" s="5">
        <v>28.19</v>
      </c>
      <c r="P1992" s="5">
        <v>18.375</v>
      </c>
      <c r="Q1992" s="2" t="s">
        <v>18</v>
      </c>
      <c r="R1992" s="5">
        <v>18.375</v>
      </c>
      <c r="S1992" s="5">
        <f>(R1992/J1992)*100</f>
        <v>7.098870362071362</v>
      </c>
      <c r="T1992" s="9" t="s">
        <v>399</v>
      </c>
      <c r="U1992" s="9"/>
      <c r="V1992" s="5"/>
      <c r="W1992" s="6" t="s">
        <v>2696</v>
      </c>
    </row>
    <row r="1993" spans="1:23" x14ac:dyDescent="0.15">
      <c r="A1993" s="2" t="s">
        <v>299</v>
      </c>
      <c r="B1993" s="2" t="s">
        <v>3939</v>
      </c>
      <c r="C1993" s="2" t="s">
        <v>1028</v>
      </c>
      <c r="D1993" s="2" t="s">
        <v>632</v>
      </c>
      <c r="E1993" s="1"/>
      <c r="F1993" s="2" t="s">
        <v>633</v>
      </c>
      <c r="G1993" s="2" t="s">
        <v>374</v>
      </c>
      <c r="H1993" s="2" t="str">
        <f t="shared" si="67"/>
        <v>C</v>
      </c>
      <c r="I1993" s="5">
        <v>10.6</v>
      </c>
      <c r="J1993" s="5">
        <v>216</v>
      </c>
      <c r="K1993" s="5"/>
      <c r="L1993" s="7">
        <v>1</v>
      </c>
      <c r="M1993" s="2" t="s">
        <v>571</v>
      </c>
      <c r="N1993" s="7">
        <v>39</v>
      </c>
      <c r="O1993" s="5">
        <v>27</v>
      </c>
      <c r="P1993" s="5">
        <v>18</v>
      </c>
      <c r="Q1993" s="2" t="s">
        <v>18</v>
      </c>
      <c r="R1993" s="5">
        <v>18</v>
      </c>
      <c r="S1993" s="5">
        <v>8.33</v>
      </c>
      <c r="T1993" s="9" t="s">
        <v>634</v>
      </c>
      <c r="U1993" s="40" t="s">
        <v>4047</v>
      </c>
      <c r="V1993" s="5"/>
      <c r="W1993" s="6" t="s">
        <v>2697</v>
      </c>
    </row>
    <row r="1994" spans="1:23" x14ac:dyDescent="0.15">
      <c r="A1994" s="2" t="s">
        <v>299</v>
      </c>
      <c r="B1994" s="2" t="s">
        <v>3939</v>
      </c>
      <c r="C1994" s="2" t="s">
        <v>1028</v>
      </c>
      <c r="D1994" s="2" t="s">
        <v>632</v>
      </c>
      <c r="E1994" s="1"/>
      <c r="F1994" s="2" t="s">
        <v>646</v>
      </c>
      <c r="G1994" s="2" t="s">
        <v>374</v>
      </c>
      <c r="H1994" s="2" t="str">
        <f t="shared" si="67"/>
        <v>C</v>
      </c>
      <c r="I1994" s="5">
        <v>10.39</v>
      </c>
      <c r="J1994" s="5">
        <v>188.75</v>
      </c>
      <c r="K1994" s="5"/>
      <c r="L1994" s="7">
        <v>1.5</v>
      </c>
      <c r="M1994" s="2" t="s">
        <v>571</v>
      </c>
      <c r="N1994" s="7">
        <v>38.5</v>
      </c>
      <c r="O1994" s="5">
        <v>27.5</v>
      </c>
      <c r="P1994" s="5">
        <v>18</v>
      </c>
      <c r="Q1994" s="2" t="s">
        <v>18</v>
      </c>
      <c r="R1994" s="5">
        <v>27</v>
      </c>
      <c r="S1994" s="5">
        <v>14.3</v>
      </c>
      <c r="T1994" s="9"/>
      <c r="U1994" s="40"/>
      <c r="V1994" s="5"/>
      <c r="W1994" s="6" t="s">
        <v>4138</v>
      </c>
    </row>
    <row r="1995" spans="1:23" x14ac:dyDescent="0.15">
      <c r="A1995" s="2" t="s">
        <v>299</v>
      </c>
      <c r="B1995" s="2" t="s">
        <v>3939</v>
      </c>
      <c r="C1995" s="2" t="s">
        <v>3879</v>
      </c>
      <c r="D1995" s="2" t="s">
        <v>3880</v>
      </c>
      <c r="E1995" s="1"/>
      <c r="F1995" s="2" t="s">
        <v>3881</v>
      </c>
      <c r="G1995" s="2">
        <v>-19.72</v>
      </c>
      <c r="H1995" s="2" t="str">
        <f t="shared" si="67"/>
        <v>W</v>
      </c>
      <c r="I1995" s="5">
        <v>68.3</v>
      </c>
      <c r="J1995" s="5">
        <v>28000</v>
      </c>
      <c r="K1995" s="5"/>
      <c r="L1995" s="7">
        <v>10</v>
      </c>
      <c r="M1995" s="2" t="s">
        <v>571</v>
      </c>
      <c r="N1995" s="7">
        <v>51.1</v>
      </c>
      <c r="O1995" s="5">
        <v>51.1</v>
      </c>
      <c r="P1995" s="5">
        <v>58.63</v>
      </c>
      <c r="Q1995" s="2" t="s">
        <v>376</v>
      </c>
      <c r="R1995" s="5">
        <v>586.29999999999995</v>
      </c>
      <c r="S1995" s="5">
        <f>(R1995/J1995)*100</f>
        <v>2.0939285714285711</v>
      </c>
      <c r="T1995" s="9"/>
      <c r="U1995" s="9"/>
      <c r="V1995" s="5"/>
      <c r="W1995" s="6" t="s">
        <v>3882</v>
      </c>
    </row>
    <row r="1996" spans="1:23" x14ac:dyDescent="0.15">
      <c r="A1996" s="2" t="s">
        <v>299</v>
      </c>
      <c r="B1996" s="2" t="s">
        <v>3939</v>
      </c>
      <c r="C1996" s="2" t="s">
        <v>1022</v>
      </c>
      <c r="D1996" s="2" t="s">
        <v>398</v>
      </c>
      <c r="E1996" s="1" t="s">
        <v>1021</v>
      </c>
      <c r="F1996" s="2" t="s">
        <v>635</v>
      </c>
      <c r="G1996" s="2" t="s">
        <v>374</v>
      </c>
      <c r="H1996" s="2" t="str">
        <f t="shared" si="67"/>
        <v>C</v>
      </c>
      <c r="I1996" s="5">
        <f>EXP((LN(J1996/0.636))/2.548)</f>
        <v>19.325311347712489</v>
      </c>
      <c r="J1996" s="5">
        <v>1203.67</v>
      </c>
      <c r="K1996" s="5"/>
      <c r="L1996" s="7">
        <v>4.8099999999999996</v>
      </c>
      <c r="M1996" s="2" t="s">
        <v>571</v>
      </c>
      <c r="N1996" s="7">
        <v>38</v>
      </c>
      <c r="O1996" s="5">
        <v>31.67</v>
      </c>
      <c r="P1996" s="5">
        <f xml:space="preserve"> (0.68*N1996) + (1.346*O1996) - 46.145</f>
        <v>22.322820000000014</v>
      </c>
      <c r="Q1996" s="2" t="s">
        <v>376</v>
      </c>
      <c r="R1996" s="5">
        <f>P1996*L1996</f>
        <v>107.37276420000006</v>
      </c>
      <c r="S1996" s="5">
        <f>(R1996/J1996)*100</f>
        <v>8.9204486445620521</v>
      </c>
      <c r="T1996" s="9" t="s">
        <v>399</v>
      </c>
      <c r="U1996" s="9"/>
      <c r="V1996" s="5"/>
      <c r="W1996" s="6" t="s">
        <v>2690</v>
      </c>
    </row>
    <row r="1997" spans="1:23" x14ac:dyDescent="0.15">
      <c r="A1997" s="2" t="s">
        <v>299</v>
      </c>
      <c r="B1997" s="2" t="s">
        <v>3939</v>
      </c>
      <c r="C1997" s="2" t="s">
        <v>1022</v>
      </c>
      <c r="D1997" s="2" t="s">
        <v>398</v>
      </c>
      <c r="E1997" s="1" t="s">
        <v>1021</v>
      </c>
      <c r="F1997" s="2" t="s">
        <v>374</v>
      </c>
      <c r="G1997" s="2" t="s">
        <v>374</v>
      </c>
      <c r="H1997" s="2" t="str">
        <f t="shared" si="67"/>
        <v>C</v>
      </c>
      <c r="I1997" s="5"/>
      <c r="J1997" s="5"/>
      <c r="K1997" s="5">
        <f>MEDIAN(10,12)</f>
        <v>11</v>
      </c>
      <c r="L1997" s="5">
        <f>MEDIAN(3,6)</f>
        <v>4.5</v>
      </c>
      <c r="M1997" s="2" t="s">
        <v>571</v>
      </c>
      <c r="N1997" s="5">
        <v>42</v>
      </c>
      <c r="O1997" s="5">
        <v>31</v>
      </c>
      <c r="P1997" s="5">
        <f xml:space="preserve"> (0.68*N1997) + (1.346*O1997) - 46.145</f>
        <v>24.140999999999998</v>
      </c>
      <c r="Q1997" s="2" t="s">
        <v>376</v>
      </c>
      <c r="R1997" s="5">
        <f>P1997*L1997</f>
        <v>108.63449999999999</v>
      </c>
      <c r="S1997" s="5"/>
      <c r="T1997" s="2" t="s">
        <v>524</v>
      </c>
      <c r="U1997" s="40" t="s">
        <v>395</v>
      </c>
      <c r="V1997" s="5"/>
      <c r="W1997" s="6" t="s">
        <v>2159</v>
      </c>
    </row>
    <row r="1998" spans="1:23" x14ac:dyDescent="0.15">
      <c r="A1998" s="2" t="s">
        <v>299</v>
      </c>
      <c r="B1998" s="2" t="s">
        <v>3939</v>
      </c>
      <c r="C1998" s="2" t="s">
        <v>1022</v>
      </c>
      <c r="D1998" s="2" t="s">
        <v>398</v>
      </c>
      <c r="E1998" s="1" t="s">
        <v>1021</v>
      </c>
      <c r="F1998" s="2" t="s">
        <v>374</v>
      </c>
      <c r="G1998" s="2" t="s">
        <v>374</v>
      </c>
      <c r="H1998" s="2" t="str">
        <f t="shared" si="67"/>
        <v>C</v>
      </c>
      <c r="I1998" s="5">
        <f>EXP((LN(J1998/0.636))/2.548)</f>
        <v>26.535374131072093</v>
      </c>
      <c r="J1998" s="5">
        <v>2700</v>
      </c>
      <c r="K1998" s="5"/>
      <c r="L1998" s="7">
        <v>5</v>
      </c>
      <c r="M1998" s="7" t="s">
        <v>571</v>
      </c>
      <c r="N1998" s="7"/>
      <c r="O1998" s="5"/>
      <c r="P1998" s="5">
        <f>MEDIAN(18,24)</f>
        <v>21</v>
      </c>
      <c r="Q1998" s="2" t="s">
        <v>18</v>
      </c>
      <c r="R1998" s="5">
        <v>105</v>
      </c>
      <c r="S1998" s="5">
        <v>3.8889999999999998</v>
      </c>
      <c r="T1998" s="2">
        <v>4</v>
      </c>
      <c r="U1998" s="2" t="str">
        <f>IF(T1998&lt;=1, "1",IF(AND(T1998&gt;1,T1998&lt;4), "2-3", "+4"))</f>
        <v>+4</v>
      </c>
      <c r="V1998" s="5">
        <f>S1998*T1998</f>
        <v>15.555999999999999</v>
      </c>
      <c r="W1998" s="6" t="s">
        <v>3144</v>
      </c>
    </row>
    <row r="1999" spans="1:23" x14ac:dyDescent="0.15">
      <c r="A1999" s="2" t="s">
        <v>299</v>
      </c>
      <c r="B1999" s="2" t="s">
        <v>3939</v>
      </c>
      <c r="C1999" s="2" t="s">
        <v>1022</v>
      </c>
      <c r="D1999" s="2" t="s">
        <v>398</v>
      </c>
      <c r="E1999" s="1" t="s">
        <v>1021</v>
      </c>
      <c r="F1999" s="2" t="s">
        <v>204</v>
      </c>
      <c r="G1999" s="2" t="s">
        <v>374</v>
      </c>
      <c r="H1999" s="2" t="str">
        <f t="shared" si="67"/>
        <v>C</v>
      </c>
      <c r="I1999" s="5"/>
      <c r="J1999" s="5"/>
      <c r="K1999" s="5"/>
      <c r="L1999" s="5">
        <v>5.5</v>
      </c>
      <c r="M1999" s="2" t="s">
        <v>571</v>
      </c>
      <c r="N1999" s="5">
        <v>43.61</v>
      </c>
      <c r="O1999" s="5">
        <v>33.81</v>
      </c>
      <c r="P1999" s="5">
        <v>29.02</v>
      </c>
      <c r="Q1999" s="2" t="s">
        <v>376</v>
      </c>
      <c r="R1999" s="5">
        <v>159.6</v>
      </c>
      <c r="S1999" s="5"/>
      <c r="V1999" s="5"/>
      <c r="W1999" s="6" t="s">
        <v>3262</v>
      </c>
    </row>
    <row r="2000" spans="1:23" x14ac:dyDescent="0.15">
      <c r="A2000" s="2" t="s">
        <v>299</v>
      </c>
      <c r="B2000" s="2" t="s">
        <v>3939</v>
      </c>
      <c r="C2000" s="2" t="s">
        <v>1022</v>
      </c>
      <c r="D2000" s="2" t="s">
        <v>398</v>
      </c>
      <c r="E2000" s="1" t="s">
        <v>1021</v>
      </c>
      <c r="F2000" s="2" t="s">
        <v>374</v>
      </c>
      <c r="G2000" s="2" t="s">
        <v>374</v>
      </c>
      <c r="H2000" s="2" t="str">
        <f t="shared" si="67"/>
        <v>C</v>
      </c>
      <c r="I2000" s="5">
        <v>24</v>
      </c>
      <c r="J2000" s="5">
        <f xml:space="preserve"> 0.636*(I2000^2.548)</f>
        <v>2090.4287011343122</v>
      </c>
      <c r="K2000" s="5"/>
      <c r="L2000" s="5">
        <v>6.5</v>
      </c>
      <c r="M2000" s="5" t="s">
        <v>571</v>
      </c>
      <c r="N2000" s="5"/>
      <c r="O2000" s="5"/>
      <c r="P2000" s="5"/>
      <c r="R2000" s="5"/>
      <c r="S2000" s="5"/>
      <c r="T2000" s="2">
        <v>2.57</v>
      </c>
      <c r="U2000" s="2" t="str">
        <f>IF(T2000&lt;=1, "1",IF(AND(T2000&gt;1,T2000&lt;4), "2-3", "+4"))</f>
        <v>2-3</v>
      </c>
      <c r="V2000" s="5"/>
      <c r="W2000" s="6" t="s">
        <v>2289</v>
      </c>
    </row>
    <row r="2001" spans="1:23" x14ac:dyDescent="0.15">
      <c r="A2001" s="2" t="s">
        <v>299</v>
      </c>
      <c r="B2001" s="2" t="s">
        <v>3939</v>
      </c>
      <c r="C2001" s="2" t="s">
        <v>1022</v>
      </c>
      <c r="D2001" s="2" t="s">
        <v>398</v>
      </c>
      <c r="E2001" s="1" t="s">
        <v>1021</v>
      </c>
      <c r="F2001" s="2" t="s">
        <v>374</v>
      </c>
      <c r="G2001" s="2" t="s">
        <v>374</v>
      </c>
      <c r="H2001" s="2" t="str">
        <f t="shared" si="67"/>
        <v>C</v>
      </c>
      <c r="I2001" s="5">
        <v>21</v>
      </c>
      <c r="J2001" s="5">
        <v>1780</v>
      </c>
      <c r="K2001" s="5"/>
      <c r="L2001" s="7">
        <v>3</v>
      </c>
      <c r="M2001" s="7" t="s">
        <v>571</v>
      </c>
      <c r="N2001" s="7">
        <v>47.35</v>
      </c>
      <c r="O2001" s="5">
        <v>33.630000000000003</v>
      </c>
      <c r="P2001" s="5">
        <v>31.5</v>
      </c>
      <c r="Q2001" s="2" t="s">
        <v>18</v>
      </c>
      <c r="R2001" s="5">
        <v>92.5</v>
      </c>
      <c r="S2001" s="5">
        <v>5.1970000000000001</v>
      </c>
      <c r="V2001" s="5"/>
      <c r="W2001" s="6" t="s">
        <v>2693</v>
      </c>
    </row>
    <row r="2002" spans="1:23" x14ac:dyDescent="0.15">
      <c r="A2002" s="2" t="s">
        <v>299</v>
      </c>
      <c r="B2002" s="2" t="s">
        <v>3939</v>
      </c>
      <c r="C2002" s="2" t="s">
        <v>1022</v>
      </c>
      <c r="D2002" s="2" t="s">
        <v>398</v>
      </c>
      <c r="E2002" s="1" t="s">
        <v>1021</v>
      </c>
      <c r="F2002" s="2" t="s">
        <v>371</v>
      </c>
      <c r="H2002" s="2" t="s">
        <v>3887</v>
      </c>
      <c r="I2002" s="5">
        <v>28.9</v>
      </c>
      <c r="J2002" s="5">
        <f xml:space="preserve"> 0.636*(I2002^2.548)</f>
        <v>3356.022153473913</v>
      </c>
      <c r="K2002" s="5"/>
      <c r="L2002" s="7">
        <f>MEDIAN(3,10)</f>
        <v>6.5</v>
      </c>
      <c r="M2002" s="7" t="s">
        <v>571</v>
      </c>
      <c r="N2002" s="7"/>
      <c r="O2002" s="5">
        <f>MEDIAN(30,38)</f>
        <v>34</v>
      </c>
      <c r="P2002" s="5">
        <f>MEDIAN(22,38)</f>
        <v>30</v>
      </c>
      <c r="Q2002" s="2" t="s">
        <v>18</v>
      </c>
      <c r="R2002" s="5">
        <f>P2002*L2002</f>
        <v>195</v>
      </c>
      <c r="S2002" s="5">
        <f>(R2002/J2002)*100</f>
        <v>5.810450321317159</v>
      </c>
      <c r="T2002" s="2" t="s">
        <v>399</v>
      </c>
      <c r="V2002" s="5"/>
      <c r="W2002" s="6" t="s">
        <v>2426</v>
      </c>
    </row>
    <row r="2003" spans="1:23" x14ac:dyDescent="0.15">
      <c r="A2003" s="2" t="s">
        <v>299</v>
      </c>
      <c r="B2003" s="2" t="s">
        <v>3939</v>
      </c>
      <c r="C2003" s="2" t="s">
        <v>1022</v>
      </c>
      <c r="D2003" s="2" t="s">
        <v>398</v>
      </c>
      <c r="E2003" s="1" t="s">
        <v>1021</v>
      </c>
      <c r="F2003" s="2" t="s">
        <v>374</v>
      </c>
      <c r="G2003" s="2" t="s">
        <v>374</v>
      </c>
      <c r="H2003" s="2" t="str">
        <f t="shared" si="67"/>
        <v>C</v>
      </c>
      <c r="I2003" s="5"/>
      <c r="J2003" s="5"/>
      <c r="K2003" s="5"/>
      <c r="L2003" s="7">
        <v>3.46</v>
      </c>
      <c r="M2003" s="2" t="s">
        <v>571</v>
      </c>
      <c r="N2003" s="7">
        <v>43.14</v>
      </c>
      <c r="O2003" s="5">
        <v>35.090000000000003</v>
      </c>
      <c r="P2003" s="5">
        <f xml:space="preserve"> (0.68*N2003) + (1.346*O2003) - 46.145</f>
        <v>30.421340000000008</v>
      </c>
      <c r="Q2003" s="2" t="s">
        <v>376</v>
      </c>
      <c r="R2003" s="5">
        <f>P2003*L2003</f>
        <v>105.25783640000003</v>
      </c>
      <c r="S2003" s="5"/>
      <c r="T2003" s="9"/>
      <c r="U2003" s="9"/>
      <c r="V2003" s="5"/>
      <c r="W2003" s="6" t="s">
        <v>2689</v>
      </c>
    </row>
    <row r="2004" spans="1:23" x14ac:dyDescent="0.15">
      <c r="A2004" s="2" t="s">
        <v>299</v>
      </c>
      <c r="B2004" s="2" t="s">
        <v>3939</v>
      </c>
      <c r="C2004" s="2" t="s">
        <v>1022</v>
      </c>
      <c r="D2004" s="2" t="s">
        <v>398</v>
      </c>
      <c r="E2004" s="1" t="s">
        <v>1021</v>
      </c>
      <c r="F2004" s="2" t="s">
        <v>374</v>
      </c>
      <c r="G2004" s="2" t="s">
        <v>374</v>
      </c>
      <c r="H2004" s="2" t="str">
        <f t="shared" si="67"/>
        <v>C</v>
      </c>
      <c r="I2004" s="5">
        <v>28.75</v>
      </c>
      <c r="J2004" s="5">
        <v>1864</v>
      </c>
      <c r="K2004" s="5"/>
      <c r="L2004" s="7">
        <f>MEDIAN(3,7)</f>
        <v>5</v>
      </c>
      <c r="M2004" s="7" t="s">
        <v>571</v>
      </c>
      <c r="N2004" s="7"/>
      <c r="O2004" s="5">
        <f>MEDIAN(22,32)</f>
        <v>27</v>
      </c>
      <c r="P2004" s="5"/>
      <c r="R2004" s="5"/>
      <c r="S2004" s="5"/>
      <c r="T2004" s="2" t="s">
        <v>399</v>
      </c>
      <c r="V2004" s="5"/>
      <c r="W2004" s="6" t="s">
        <v>2694</v>
      </c>
    </row>
    <row r="2005" spans="1:23" x14ac:dyDescent="0.15">
      <c r="A2005" s="2" t="s">
        <v>299</v>
      </c>
      <c r="B2005" s="2" t="s">
        <v>3939</v>
      </c>
      <c r="C2005" s="2" t="s">
        <v>1022</v>
      </c>
      <c r="D2005" s="2" t="s">
        <v>398</v>
      </c>
      <c r="E2005" s="1" t="s">
        <v>1021</v>
      </c>
      <c r="F2005" s="2" t="s">
        <v>374</v>
      </c>
      <c r="G2005" s="2" t="s">
        <v>374</v>
      </c>
      <c r="H2005" s="2" t="str">
        <f t="shared" si="67"/>
        <v>C</v>
      </c>
      <c r="I2005" s="5">
        <f>EXP((LN(J2005/0.636))/2.548)</f>
        <v>20.682985770525228</v>
      </c>
      <c r="J2005" s="5">
        <v>1431</v>
      </c>
      <c r="K2005" s="5"/>
      <c r="L2005" s="7">
        <v>5</v>
      </c>
      <c r="M2005" s="7" t="s">
        <v>571</v>
      </c>
      <c r="N2005" s="7">
        <v>44.54</v>
      </c>
      <c r="O2005" s="5">
        <v>31.42</v>
      </c>
      <c r="P2005" s="5">
        <v>26.2</v>
      </c>
      <c r="Q2005" s="2" t="s">
        <v>18</v>
      </c>
      <c r="R2005" s="5">
        <v>131</v>
      </c>
      <c r="S2005" s="5">
        <v>9.15</v>
      </c>
      <c r="V2005" s="5"/>
      <c r="W2005" s="6" t="s">
        <v>2691</v>
      </c>
    </row>
    <row r="2006" spans="1:23" x14ac:dyDescent="0.15">
      <c r="A2006" s="2" t="s">
        <v>299</v>
      </c>
      <c r="B2006" s="2" t="s">
        <v>3939</v>
      </c>
      <c r="C2006" s="2" t="s">
        <v>1022</v>
      </c>
      <c r="D2006" s="2" t="s">
        <v>398</v>
      </c>
      <c r="E2006" s="1" t="s">
        <v>1021</v>
      </c>
      <c r="F2006" s="2" t="s">
        <v>404</v>
      </c>
      <c r="G2006" s="2" t="s">
        <v>374</v>
      </c>
      <c r="H2006" s="2" t="str">
        <f t="shared" si="67"/>
        <v>C</v>
      </c>
      <c r="I2006" s="5">
        <v>25.6</v>
      </c>
      <c r="J2006" s="5">
        <v>2733</v>
      </c>
      <c r="K2006" s="5"/>
      <c r="L2006" s="7">
        <v>5.13</v>
      </c>
      <c r="M2006" s="7" t="s">
        <v>571</v>
      </c>
      <c r="N2006" s="7">
        <v>40.98</v>
      </c>
      <c r="O2006" s="5">
        <v>33.29</v>
      </c>
      <c r="P2006" s="5">
        <v>26.195</v>
      </c>
      <c r="Q2006" s="2" t="s">
        <v>18</v>
      </c>
      <c r="R2006" s="5">
        <v>131.22</v>
      </c>
      <c r="S2006" s="5">
        <v>5.234</v>
      </c>
      <c r="T2006" s="2">
        <v>1.85</v>
      </c>
      <c r="U2006" s="2" t="str">
        <f>IF(T2006&lt;=1, "1",IF(AND(T2006&gt;1,T2006&lt;4), "2-3", "+4"))</f>
        <v>2-3</v>
      </c>
      <c r="V2006" s="5">
        <f>S2006*1.85</f>
        <v>9.6829000000000001</v>
      </c>
      <c r="W2006" s="6" t="s">
        <v>2692</v>
      </c>
    </row>
    <row r="2007" spans="1:23" x14ac:dyDescent="0.15">
      <c r="A2007" s="2" t="s">
        <v>299</v>
      </c>
      <c r="B2007" s="2" t="s">
        <v>3939</v>
      </c>
      <c r="C2007" s="2" t="s">
        <v>1022</v>
      </c>
      <c r="D2007" s="2" t="s">
        <v>398</v>
      </c>
      <c r="E2007" s="1" t="s">
        <v>1021</v>
      </c>
      <c r="F2007" s="2" t="s">
        <v>374</v>
      </c>
      <c r="G2007" s="2" t="s">
        <v>374</v>
      </c>
      <c r="H2007" s="2" t="str">
        <f t="shared" si="67"/>
        <v>C</v>
      </c>
      <c r="I2007" s="5"/>
      <c r="J2007" s="5"/>
      <c r="K2007" s="5"/>
      <c r="L2007" s="7">
        <v>6.67</v>
      </c>
      <c r="M2007" s="7" t="s">
        <v>571</v>
      </c>
      <c r="N2007" s="7"/>
      <c r="O2007" s="5"/>
      <c r="P2007" s="5"/>
      <c r="R2007" s="5"/>
      <c r="S2007" s="5"/>
      <c r="T2007" s="2" t="s">
        <v>399</v>
      </c>
      <c r="V2007" s="5"/>
      <c r="W2007" s="6" t="s">
        <v>2695</v>
      </c>
    </row>
    <row r="2008" spans="1:23" x14ac:dyDescent="0.15">
      <c r="A2008" s="2" t="s">
        <v>299</v>
      </c>
      <c r="B2008" s="2" t="s">
        <v>3939</v>
      </c>
      <c r="C2008" s="2" t="s">
        <v>1022</v>
      </c>
      <c r="D2008" s="2" t="s">
        <v>437</v>
      </c>
      <c r="E2008" s="1"/>
      <c r="F2008" s="2" t="s">
        <v>438</v>
      </c>
      <c r="H2008" s="2" t="s">
        <v>3887</v>
      </c>
      <c r="I2008" s="5"/>
      <c r="J2008" s="5"/>
      <c r="K2008" s="5"/>
      <c r="L2008" s="7"/>
      <c r="M2008" s="2" t="s">
        <v>571</v>
      </c>
      <c r="N2008" s="7">
        <v>55</v>
      </c>
      <c r="O2008" s="5">
        <v>38</v>
      </c>
      <c r="P2008" s="5">
        <f xml:space="preserve"> (0.68*N2008) + (1.346*O2008) - 46.145</f>
        <v>42.402999999999999</v>
      </c>
      <c r="Q2008" s="2" t="s">
        <v>376</v>
      </c>
      <c r="R2008" s="5"/>
      <c r="S2008" s="5"/>
      <c r="V2008" s="5"/>
      <c r="W2008" s="6" t="s">
        <v>2426</v>
      </c>
    </row>
    <row r="2009" spans="1:23" x14ac:dyDescent="0.15">
      <c r="A2009" s="2" t="s">
        <v>299</v>
      </c>
      <c r="B2009" s="2" t="s">
        <v>3939</v>
      </c>
      <c r="C2009" s="2" t="s">
        <v>1022</v>
      </c>
      <c r="D2009" s="2" t="s">
        <v>437</v>
      </c>
      <c r="E2009" s="1"/>
      <c r="F2009" s="2" t="s">
        <v>438</v>
      </c>
      <c r="H2009" s="2" t="s">
        <v>3887</v>
      </c>
      <c r="I2009" s="5"/>
      <c r="J2009" s="5"/>
      <c r="K2009" s="5"/>
      <c r="L2009" s="5">
        <v>4.4000000000000004</v>
      </c>
      <c r="M2009" s="2" t="s">
        <v>571</v>
      </c>
      <c r="N2009" s="5"/>
      <c r="O2009" s="5"/>
      <c r="P2009" s="5"/>
      <c r="R2009" s="5"/>
      <c r="S2009" s="5"/>
      <c r="T2009" s="5">
        <f>MEDIAN(1,4)</f>
        <v>2.5</v>
      </c>
      <c r="U2009" s="2" t="str">
        <f>IF(T2009&lt;=1, "1",IF(AND(T2009&gt;1,T2009&lt;4), "2-3", "+4"))</f>
        <v>2-3</v>
      </c>
      <c r="V2009" s="5"/>
      <c r="W2009" s="6" t="s">
        <v>2093</v>
      </c>
    </row>
    <row r="2010" spans="1:23" x14ac:dyDescent="0.15">
      <c r="A2010" s="4" t="s">
        <v>299</v>
      </c>
      <c r="B2010" s="4" t="s">
        <v>3937</v>
      </c>
      <c r="C2010" s="4" t="s">
        <v>1025</v>
      </c>
      <c r="D2010" s="4" t="s">
        <v>807</v>
      </c>
      <c r="E2010" s="1"/>
      <c r="F2010" s="4" t="s">
        <v>309</v>
      </c>
      <c r="G2010" s="4">
        <v>35.06</v>
      </c>
      <c r="H2010" s="2" t="str">
        <f t="shared" si="67"/>
        <v>W</v>
      </c>
      <c r="I2010" s="33">
        <v>25.1</v>
      </c>
      <c r="J2010" s="5">
        <f>1.79143*I2010^2.3035</f>
        <v>3001.5685084696356</v>
      </c>
      <c r="K2010" s="5"/>
      <c r="L2010" s="33">
        <v>3.9</v>
      </c>
      <c r="M2010" s="4" t="s">
        <v>571</v>
      </c>
      <c r="N2010" s="5"/>
      <c r="O2010" s="5"/>
      <c r="P2010" s="5"/>
      <c r="R2010" s="5"/>
      <c r="S2010" s="5"/>
      <c r="V2010" s="5"/>
      <c r="W2010" s="10" t="s">
        <v>1864</v>
      </c>
    </row>
    <row r="2011" spans="1:23" x14ac:dyDescent="0.15">
      <c r="A2011" s="4" t="s">
        <v>299</v>
      </c>
      <c r="B2011" s="4" t="s">
        <v>3937</v>
      </c>
      <c r="C2011" s="4" t="s">
        <v>1025</v>
      </c>
      <c r="D2011" s="4" t="s">
        <v>807</v>
      </c>
      <c r="E2011" s="1"/>
      <c r="F2011" s="4" t="s">
        <v>309</v>
      </c>
      <c r="G2011" s="4"/>
      <c r="H2011" s="2" t="s">
        <v>3887</v>
      </c>
      <c r="I2011" s="33"/>
      <c r="J2011" s="5"/>
      <c r="K2011" s="5"/>
      <c r="L2011" s="33"/>
      <c r="M2011" s="4" t="s">
        <v>571</v>
      </c>
      <c r="N2011" s="5"/>
      <c r="O2011" s="5"/>
      <c r="P2011" s="5"/>
      <c r="R2011" s="5"/>
      <c r="S2011" s="5"/>
      <c r="V2011" s="5"/>
      <c r="W2011" s="10" t="s">
        <v>4081</v>
      </c>
    </row>
    <row r="2012" spans="1:23" x14ac:dyDescent="0.15">
      <c r="A2012" s="2" t="s">
        <v>299</v>
      </c>
      <c r="B2012" s="4" t="s">
        <v>3937</v>
      </c>
      <c r="C2012" s="2" t="s">
        <v>1025</v>
      </c>
      <c r="D2012" s="2" t="s">
        <v>807</v>
      </c>
      <c r="E2012" s="1"/>
      <c r="F2012" s="2" t="s">
        <v>309</v>
      </c>
      <c r="G2012" s="2">
        <v>33.950000000000003</v>
      </c>
      <c r="H2012" s="2" t="str">
        <f>IF(G2012="captive","C","W")</f>
        <v>W</v>
      </c>
      <c r="I2012" s="5"/>
      <c r="J2012" s="5"/>
      <c r="K2012" s="5"/>
      <c r="L2012" s="5">
        <v>4.3</v>
      </c>
      <c r="M2012" s="4" t="s">
        <v>571</v>
      </c>
      <c r="N2012" s="5"/>
      <c r="O2012" s="5">
        <v>38.6</v>
      </c>
      <c r="P2012" s="5">
        <f xml:space="preserve"> (0.0799*O2012) + 35.058</f>
        <v>38.142139999999998</v>
      </c>
      <c r="Q2012" s="2" t="s">
        <v>376</v>
      </c>
      <c r="R2012" s="5">
        <f>P2012*L2012</f>
        <v>164.011202</v>
      </c>
      <c r="S2012" s="5"/>
      <c r="T2012" s="2">
        <v>2</v>
      </c>
      <c r="U2012" s="2" t="str">
        <f>IF(T2012&lt;=1, "1",IF(AND(T2012&gt;1,T2012&lt;4), "2-3", "+4"))</f>
        <v>2-3</v>
      </c>
      <c r="V2012" s="5"/>
      <c r="W2012" s="6" t="s">
        <v>3445</v>
      </c>
    </row>
    <row r="2013" spans="1:23" x14ac:dyDescent="0.15">
      <c r="A2013" s="2" t="s">
        <v>299</v>
      </c>
      <c r="B2013" s="4" t="s">
        <v>3937</v>
      </c>
      <c r="C2013" s="2" t="s">
        <v>1025</v>
      </c>
      <c r="D2013" s="2" t="s">
        <v>807</v>
      </c>
      <c r="E2013" s="1"/>
      <c r="F2013" s="2" t="s">
        <v>4086</v>
      </c>
      <c r="H2013" s="2" t="s">
        <v>3887</v>
      </c>
      <c r="I2013" s="5"/>
      <c r="J2013" s="5"/>
      <c r="K2013" s="5">
        <v>14.4</v>
      </c>
      <c r="L2013" s="5"/>
      <c r="M2013" s="4" t="s">
        <v>571</v>
      </c>
      <c r="N2013" s="5"/>
      <c r="O2013" s="5"/>
      <c r="P2013" s="5"/>
      <c r="R2013" s="5"/>
      <c r="S2013" s="5"/>
      <c r="V2013" s="5"/>
      <c r="W2013" s="6" t="s">
        <v>4085</v>
      </c>
    </row>
    <row r="2014" spans="1:23" x14ac:dyDescent="0.15">
      <c r="A2014" s="2" t="s">
        <v>299</v>
      </c>
      <c r="B2014" s="4" t="s">
        <v>3937</v>
      </c>
      <c r="C2014" s="2" t="s">
        <v>1025</v>
      </c>
      <c r="D2014" s="2" t="s">
        <v>807</v>
      </c>
      <c r="E2014" s="1"/>
      <c r="F2014" s="2" t="s">
        <v>4087</v>
      </c>
      <c r="H2014" s="2" t="s">
        <v>3887</v>
      </c>
      <c r="I2014" s="5"/>
      <c r="J2014" s="5"/>
      <c r="K2014" s="5">
        <v>15.4</v>
      </c>
      <c r="L2014" s="5"/>
      <c r="M2014" s="4" t="s">
        <v>571</v>
      </c>
      <c r="N2014" s="5"/>
      <c r="O2014" s="5"/>
      <c r="P2014" s="5"/>
      <c r="R2014" s="5"/>
      <c r="S2014" s="5"/>
      <c r="V2014" s="5"/>
      <c r="W2014" s="6" t="s">
        <v>4085</v>
      </c>
    </row>
    <row r="2015" spans="1:23" x14ac:dyDescent="0.15">
      <c r="A2015" s="2" t="s">
        <v>299</v>
      </c>
      <c r="B2015" s="4" t="s">
        <v>3937</v>
      </c>
      <c r="C2015" s="2" t="s">
        <v>1025</v>
      </c>
      <c r="D2015" s="2" t="s">
        <v>807</v>
      </c>
      <c r="E2015" s="1"/>
      <c r="F2015" s="2" t="s">
        <v>309</v>
      </c>
      <c r="G2015" s="2">
        <v>34.85</v>
      </c>
      <c r="H2015" s="2" t="str">
        <f t="shared" ref="H2015:H2037" si="68">IF(G2015="captive","C","W")</f>
        <v>W</v>
      </c>
      <c r="I2015" s="5">
        <f>EXP(LN(J2015/1.79143)/2.3035)</f>
        <v>18.96315214051295</v>
      </c>
      <c r="J2015" s="5">
        <v>1573.5</v>
      </c>
      <c r="K2015" s="5"/>
      <c r="L2015" s="5">
        <v>3.5</v>
      </c>
      <c r="M2015" s="5" t="s">
        <v>571</v>
      </c>
      <c r="N2015" s="5"/>
      <c r="O2015" s="5"/>
      <c r="P2015" s="5"/>
      <c r="R2015" s="5"/>
      <c r="S2015" s="5"/>
      <c r="T2015" s="2" t="s">
        <v>2285</v>
      </c>
      <c r="U2015" s="2">
        <v>1</v>
      </c>
      <c r="V2015" s="5"/>
      <c r="W2015" s="6" t="s">
        <v>3091</v>
      </c>
    </row>
    <row r="2016" spans="1:23" x14ac:dyDescent="0.15">
      <c r="A2016" s="2" t="s">
        <v>299</v>
      </c>
      <c r="B2016" s="4" t="s">
        <v>3937</v>
      </c>
      <c r="C2016" s="2" t="s">
        <v>1025</v>
      </c>
      <c r="D2016" s="2" t="s">
        <v>807</v>
      </c>
      <c r="E2016" s="1"/>
      <c r="F2016" s="2" t="s">
        <v>309</v>
      </c>
      <c r="H2016" s="2" t="s">
        <v>3887</v>
      </c>
      <c r="I2016" s="5">
        <v>22</v>
      </c>
      <c r="J2016" s="5"/>
      <c r="K2016" s="5"/>
      <c r="L2016" s="5">
        <v>2.7</v>
      </c>
      <c r="M2016" s="5" t="s">
        <v>571</v>
      </c>
      <c r="N2016" s="5"/>
      <c r="O2016" s="5">
        <v>36.1</v>
      </c>
      <c r="P2016" s="5">
        <f xml:space="preserve"> (0.0799*O2016) + 35.058</f>
        <v>37.942390000000003</v>
      </c>
      <c r="Q2016" s="2" t="s">
        <v>376</v>
      </c>
      <c r="R2016" s="5">
        <f>P2016*L2016</f>
        <v>102.44445300000001</v>
      </c>
      <c r="S2016" s="5"/>
      <c r="V2016" s="5"/>
      <c r="W2016" s="6" t="s">
        <v>3651</v>
      </c>
    </row>
    <row r="2017" spans="1:23" x14ac:dyDescent="0.15">
      <c r="A2017" s="4" t="s">
        <v>299</v>
      </c>
      <c r="B2017" s="4" t="s">
        <v>3937</v>
      </c>
      <c r="C2017" s="4" t="s">
        <v>1025</v>
      </c>
      <c r="D2017" s="4" t="s">
        <v>807</v>
      </c>
      <c r="E2017" s="1"/>
      <c r="F2017" s="4" t="s">
        <v>309</v>
      </c>
      <c r="G2017" s="4">
        <v>33.950000000000003</v>
      </c>
      <c r="H2017" s="2" t="str">
        <f t="shared" si="68"/>
        <v>W</v>
      </c>
      <c r="I2017" s="33">
        <v>25.1</v>
      </c>
      <c r="J2017" s="5">
        <f t="shared" ref="J2017:J2023" si="69">1.79143*I2017^2.3035</f>
        <v>3001.5685084696356</v>
      </c>
      <c r="K2017" s="5"/>
      <c r="L2017" s="33">
        <v>4.0599999999999996</v>
      </c>
      <c r="M2017" s="5" t="s">
        <v>571</v>
      </c>
      <c r="N2017" s="5"/>
      <c r="O2017" s="5">
        <v>38.909999999999997</v>
      </c>
      <c r="P2017" s="5">
        <f xml:space="preserve"> (0.0799*O2017) + 35.058</f>
        <v>38.166908999999997</v>
      </c>
      <c r="Q2017" s="2" t="s">
        <v>376</v>
      </c>
      <c r="R2017" s="5">
        <f>P2017*L2017</f>
        <v>154.95765053999997</v>
      </c>
      <c r="S2017" s="5">
        <f>(R2017/J2017)*100</f>
        <v>5.1625558471429285</v>
      </c>
      <c r="T2017" s="2">
        <v>1.94</v>
      </c>
      <c r="U2017" s="2" t="str">
        <f>IF(T2017&lt;=1, "1",IF(AND(T2017&gt;1,T2017&lt;4), "2-3", "+4"))</f>
        <v>2-3</v>
      </c>
      <c r="V2017" s="5">
        <f>S2017*T2017</f>
        <v>10.015358343457281</v>
      </c>
      <c r="W2017" s="10" t="s">
        <v>1865</v>
      </c>
    </row>
    <row r="2018" spans="1:23" x14ac:dyDescent="0.15">
      <c r="A2018" s="2" t="s">
        <v>299</v>
      </c>
      <c r="B2018" s="4" t="s">
        <v>3937</v>
      </c>
      <c r="C2018" s="2" t="s">
        <v>1025</v>
      </c>
      <c r="D2018" s="2" t="s">
        <v>807</v>
      </c>
      <c r="E2018" s="1"/>
      <c r="F2018" s="2" t="s">
        <v>316</v>
      </c>
      <c r="G2018" s="2">
        <v>33.700000000000003</v>
      </c>
      <c r="H2018" s="2" t="str">
        <f t="shared" si="68"/>
        <v>W</v>
      </c>
      <c r="I2018" s="5">
        <f>AVERAGE(24.4,25.4,22.7,21.9)</f>
        <v>23.6</v>
      </c>
      <c r="J2018" s="5">
        <f t="shared" si="69"/>
        <v>2604.3697459008913</v>
      </c>
      <c r="K2018" s="5"/>
      <c r="L2018" s="5">
        <v>4.3</v>
      </c>
      <c r="M2018" s="5" t="s">
        <v>571</v>
      </c>
      <c r="N2018" s="5"/>
      <c r="O2018" s="5">
        <v>36.51</v>
      </c>
      <c r="P2018" s="5">
        <f xml:space="preserve"> (0.0799*O2018) + 35.058</f>
        <v>37.975149000000002</v>
      </c>
      <c r="Q2018" s="2" t="s">
        <v>376</v>
      </c>
      <c r="R2018" s="5">
        <f>P2018*L2018</f>
        <v>163.29314070000001</v>
      </c>
      <c r="S2018" s="5">
        <f>(R2018/J2018)*100</f>
        <v>6.2699676555916382</v>
      </c>
      <c r="T2018" s="2">
        <v>1.78</v>
      </c>
      <c r="U2018" s="2" t="str">
        <f>IF(T2018&lt;=1, "1",IF(AND(T2018&gt;1,T2018&lt;4), "2-3", "+4"))</f>
        <v>2-3</v>
      </c>
      <c r="V2018" s="5">
        <f>S2018*T2018</f>
        <v>11.160542426953116</v>
      </c>
      <c r="W2018" s="6" t="s">
        <v>1866</v>
      </c>
    </row>
    <row r="2019" spans="1:23" x14ac:dyDescent="0.15">
      <c r="A2019" s="2" t="s">
        <v>299</v>
      </c>
      <c r="B2019" s="4" t="s">
        <v>3937</v>
      </c>
      <c r="C2019" s="2" t="s">
        <v>1025</v>
      </c>
      <c r="D2019" s="2" t="s">
        <v>807</v>
      </c>
      <c r="E2019" s="1"/>
      <c r="F2019" s="2" t="s">
        <v>317</v>
      </c>
      <c r="G2019" s="2">
        <v>37</v>
      </c>
      <c r="H2019" s="2" t="str">
        <f t="shared" si="68"/>
        <v>W</v>
      </c>
      <c r="I2019" s="5">
        <v>22.5</v>
      </c>
      <c r="J2019" s="5">
        <f t="shared" si="69"/>
        <v>2333.2016413692686</v>
      </c>
      <c r="K2019" s="5"/>
      <c r="L2019" s="5">
        <v>5.2</v>
      </c>
      <c r="M2019" s="5" t="s">
        <v>571</v>
      </c>
      <c r="N2019" s="5"/>
      <c r="O2019" s="5">
        <v>37.200000000000003</v>
      </c>
      <c r="P2019" s="5">
        <f xml:space="preserve"> (0.0799*O2019) + 35.058</f>
        <v>38.030279999999998</v>
      </c>
      <c r="Q2019" s="2" t="s">
        <v>376</v>
      </c>
      <c r="R2019" s="5">
        <f>P2019*L2019</f>
        <v>197.75745599999999</v>
      </c>
      <c r="S2019" s="5">
        <f>(R2019/J2019)*100</f>
        <v>8.4757979119174429</v>
      </c>
      <c r="T2019" s="2">
        <v>0.86</v>
      </c>
      <c r="U2019" s="2" t="str">
        <f>IF(T2019&lt;=1, "1",IF(AND(T2019&gt;1,T2019&lt;4), "2-3", "+4"))</f>
        <v>1</v>
      </c>
      <c r="V2019" s="5">
        <f>S2019*T2019</f>
        <v>7.2891862042490008</v>
      </c>
      <c r="W2019" s="6" t="s">
        <v>2098</v>
      </c>
    </row>
    <row r="2020" spans="1:23" x14ac:dyDescent="0.15">
      <c r="A2020" s="2" t="s">
        <v>299</v>
      </c>
      <c r="B2020" s="4" t="s">
        <v>3937</v>
      </c>
      <c r="C2020" s="2" t="s">
        <v>1025</v>
      </c>
      <c r="D2020" s="2" t="s">
        <v>807</v>
      </c>
      <c r="E2020" s="1"/>
      <c r="F2020" s="2" t="s">
        <v>313</v>
      </c>
      <c r="G2020" s="4">
        <v>36.799999999999997</v>
      </c>
      <c r="H2020" s="2" t="str">
        <f t="shared" si="68"/>
        <v>W</v>
      </c>
      <c r="I2020" s="5">
        <v>24.74</v>
      </c>
      <c r="J2020" s="5">
        <f t="shared" si="69"/>
        <v>2903.3275882846624</v>
      </c>
      <c r="K2020" s="5">
        <v>19.600000000000001</v>
      </c>
      <c r="L2020" s="5">
        <f>AVERAGE(4.5,4.8,4.8,5.2,4.4)</f>
        <v>4.74</v>
      </c>
      <c r="M2020" s="5" t="s">
        <v>571</v>
      </c>
      <c r="N2020" s="5"/>
      <c r="O2020" s="5"/>
      <c r="P2020" s="5"/>
      <c r="R2020" s="5"/>
      <c r="S2020" s="5"/>
      <c r="T2020" s="2">
        <f>AVERAGE(1.7,1.6,1.7,1.4,1.4)</f>
        <v>1.56</v>
      </c>
      <c r="U2020" s="2" t="str">
        <f>IF(T2020&lt;=1, "1",IF(AND(T2020&gt;1,T2020&lt;4), "2-3", "+4"))</f>
        <v>2-3</v>
      </c>
      <c r="V2020" s="5"/>
      <c r="W2020" s="6" t="s">
        <v>2096</v>
      </c>
    </row>
    <row r="2021" spans="1:23" x14ac:dyDescent="0.15">
      <c r="A2021" s="2" t="s">
        <v>299</v>
      </c>
      <c r="B2021" s="4" t="s">
        <v>3937</v>
      </c>
      <c r="C2021" s="2" t="s">
        <v>1025</v>
      </c>
      <c r="D2021" s="2" t="s">
        <v>807</v>
      </c>
      <c r="E2021" s="1"/>
      <c r="F2021" s="2" t="s">
        <v>314</v>
      </c>
      <c r="G2021" s="2">
        <v>35.5</v>
      </c>
      <c r="H2021" s="2" t="str">
        <f t="shared" si="68"/>
        <v>W</v>
      </c>
      <c r="I2021" s="5">
        <v>23.5</v>
      </c>
      <c r="J2021" s="5">
        <f t="shared" si="69"/>
        <v>2579.0197238425344</v>
      </c>
      <c r="K2021" s="5"/>
      <c r="L2021" s="5">
        <v>3.3</v>
      </c>
      <c r="M2021" s="5" t="s">
        <v>571</v>
      </c>
      <c r="N2021" s="5"/>
      <c r="O2021" s="5"/>
      <c r="P2021" s="5"/>
      <c r="R2021" s="5"/>
      <c r="S2021" s="5"/>
      <c r="T2021" s="2" t="s">
        <v>122</v>
      </c>
      <c r="V2021" s="5"/>
      <c r="W2021" s="6" t="s">
        <v>2097</v>
      </c>
    </row>
    <row r="2022" spans="1:23" x14ac:dyDescent="0.15">
      <c r="A2022" s="2" t="s">
        <v>299</v>
      </c>
      <c r="B2022" s="4" t="s">
        <v>3937</v>
      </c>
      <c r="C2022" s="2" t="s">
        <v>1025</v>
      </c>
      <c r="D2022" s="2" t="s">
        <v>807</v>
      </c>
      <c r="E2022" s="1"/>
      <c r="F2022" s="2" t="s">
        <v>315</v>
      </c>
      <c r="G2022" s="2">
        <v>35.5</v>
      </c>
      <c r="H2022" s="2" t="str">
        <f t="shared" si="68"/>
        <v>W</v>
      </c>
      <c r="I2022" s="5">
        <v>22.22</v>
      </c>
      <c r="J2022" s="5">
        <f t="shared" si="69"/>
        <v>2266.860383217394</v>
      </c>
      <c r="K2022" s="5"/>
      <c r="L2022" s="5">
        <v>3.4</v>
      </c>
      <c r="M2022" s="5" t="s">
        <v>571</v>
      </c>
      <c r="N2022" s="5"/>
      <c r="O2022" s="5"/>
      <c r="P2022" s="5"/>
      <c r="R2022" s="5"/>
      <c r="S2022" s="5"/>
      <c r="T2022" s="2" t="s">
        <v>122</v>
      </c>
      <c r="V2022" s="5"/>
      <c r="W2022" s="6" t="s">
        <v>2097</v>
      </c>
    </row>
    <row r="2023" spans="1:23" x14ac:dyDescent="0.15">
      <c r="A2023" s="2" t="s">
        <v>299</v>
      </c>
      <c r="B2023" s="4" t="s">
        <v>3937</v>
      </c>
      <c r="C2023" s="2" t="s">
        <v>1025</v>
      </c>
      <c r="D2023" s="2" t="s">
        <v>807</v>
      </c>
      <c r="E2023" s="1"/>
      <c r="F2023" s="2" t="s">
        <v>374</v>
      </c>
      <c r="G2023" s="2" t="s">
        <v>374</v>
      </c>
      <c r="H2023" s="2" t="str">
        <f t="shared" si="68"/>
        <v>C</v>
      </c>
      <c r="I2023" s="5">
        <v>25.5</v>
      </c>
      <c r="J2023" s="5">
        <f t="shared" si="69"/>
        <v>3112.8998492920491</v>
      </c>
      <c r="K2023" s="5"/>
      <c r="L2023" s="5">
        <v>6.67</v>
      </c>
      <c r="M2023" s="4" t="s">
        <v>571</v>
      </c>
      <c r="N2023" s="5"/>
      <c r="O2023" s="5"/>
      <c r="P2023" s="5"/>
      <c r="R2023" s="5"/>
      <c r="S2023" s="5"/>
      <c r="T2023" s="9">
        <f>MEDIAN(1,2)</f>
        <v>1.5</v>
      </c>
      <c r="U2023" s="2" t="str">
        <f>IF(T2023&lt;=1, "1",IF(AND(T2023&gt;1,T2023&lt;4), "2-3", "+4"))</f>
        <v>2-3</v>
      </c>
      <c r="V2023" s="5"/>
      <c r="W2023" s="6" t="s">
        <v>3446</v>
      </c>
    </row>
    <row r="2024" spans="1:23" x14ac:dyDescent="0.15">
      <c r="A2024" s="4" t="s">
        <v>299</v>
      </c>
      <c r="B2024" s="4" t="s">
        <v>3937</v>
      </c>
      <c r="C2024" s="4" t="s">
        <v>1025</v>
      </c>
      <c r="D2024" s="4" t="s">
        <v>807</v>
      </c>
      <c r="E2024" s="1"/>
      <c r="F2024" s="4" t="s">
        <v>309</v>
      </c>
      <c r="G2024" s="4">
        <v>35.380000000000003</v>
      </c>
      <c r="H2024" s="2" t="str">
        <f t="shared" si="68"/>
        <v>W</v>
      </c>
      <c r="I2024" s="33">
        <v>22</v>
      </c>
      <c r="J2024" s="5">
        <v>2730</v>
      </c>
      <c r="K2024" s="5"/>
      <c r="L2024" s="33">
        <v>4.5</v>
      </c>
      <c r="M2024" s="5" t="s">
        <v>571</v>
      </c>
      <c r="N2024" s="5"/>
      <c r="O2024" s="5">
        <v>35</v>
      </c>
      <c r="P2024" s="5">
        <f xml:space="preserve"> (0.0799*O2024) + 35.058</f>
        <v>37.854500000000002</v>
      </c>
      <c r="Q2024" s="2" t="s">
        <v>18</v>
      </c>
      <c r="R2024" s="5">
        <f>P2024*L2024</f>
        <v>170.34525000000002</v>
      </c>
      <c r="S2024" s="5">
        <v>7.37</v>
      </c>
      <c r="T2024" s="2">
        <v>1.6</v>
      </c>
      <c r="U2024" s="2" t="str">
        <f>IF(T2024&lt;=1, "1",IF(AND(T2024&gt;1,T2024&lt;4), "2-3", "+4"))</f>
        <v>2-3</v>
      </c>
      <c r="V2024" s="5">
        <f>S2024*T2024</f>
        <v>11.792000000000002</v>
      </c>
      <c r="W2024" s="10" t="s">
        <v>1863</v>
      </c>
    </row>
    <row r="2025" spans="1:23" x14ac:dyDescent="0.15">
      <c r="A2025" s="4" t="s">
        <v>299</v>
      </c>
      <c r="B2025" s="4" t="s">
        <v>3937</v>
      </c>
      <c r="C2025" s="4" t="s">
        <v>1025</v>
      </c>
      <c r="D2025" s="4" t="s">
        <v>807</v>
      </c>
      <c r="E2025" s="1"/>
      <c r="F2025" s="4" t="s">
        <v>308</v>
      </c>
      <c r="G2025" s="4">
        <v>37.1</v>
      </c>
      <c r="H2025" s="2" t="str">
        <f t="shared" si="68"/>
        <v>W</v>
      </c>
      <c r="I2025" s="33">
        <v>17.7</v>
      </c>
      <c r="J2025" s="5">
        <f>1.79143*I2025^2.3035</f>
        <v>1342.4751700025079</v>
      </c>
      <c r="K2025" s="5">
        <v>18.100000000000001</v>
      </c>
      <c r="L2025" s="33">
        <v>4.5</v>
      </c>
      <c r="M2025" s="5" t="s">
        <v>571</v>
      </c>
      <c r="N2025" s="5"/>
      <c r="O2025" s="5"/>
      <c r="P2025" s="5"/>
      <c r="R2025" s="5"/>
      <c r="S2025" s="5"/>
      <c r="V2025" s="5"/>
      <c r="W2025" s="10" t="s">
        <v>1862</v>
      </c>
    </row>
    <row r="2026" spans="1:23" x14ac:dyDescent="0.15">
      <c r="A2026" s="2" t="s">
        <v>299</v>
      </c>
      <c r="B2026" s="4" t="s">
        <v>3937</v>
      </c>
      <c r="C2026" s="2" t="s">
        <v>1025</v>
      </c>
      <c r="D2026" s="2" t="s">
        <v>807</v>
      </c>
      <c r="E2026" s="1"/>
      <c r="F2026" s="2" t="s">
        <v>310</v>
      </c>
      <c r="G2026" s="2">
        <v>35</v>
      </c>
      <c r="H2026" s="2" t="str">
        <f t="shared" si="68"/>
        <v>W</v>
      </c>
      <c r="I2026" s="5">
        <v>22</v>
      </c>
      <c r="J2026" s="5">
        <f>1.79143*I2026^2.3035</f>
        <v>2215.4935402066035</v>
      </c>
      <c r="K2026" s="5"/>
      <c r="L2026" s="5">
        <v>4.5</v>
      </c>
      <c r="M2026" s="5" t="s">
        <v>571</v>
      </c>
      <c r="N2026" s="5"/>
      <c r="O2026" s="5">
        <v>35</v>
      </c>
      <c r="P2026" s="5">
        <f xml:space="preserve"> (0.0799*O2026) + 35.058</f>
        <v>37.854500000000002</v>
      </c>
      <c r="Q2026" s="2" t="s">
        <v>376</v>
      </c>
      <c r="R2026" s="5">
        <v>175.2</v>
      </c>
      <c r="S2026" s="5">
        <f>(R2026/J2026)*100</f>
        <v>7.9079445198319966</v>
      </c>
      <c r="T2026" s="2">
        <f>AVERAGE(1.89,1.57,1.75)</f>
        <v>1.7366666666666666</v>
      </c>
      <c r="U2026" s="2" t="str">
        <f t="shared" ref="U2026:U2031" si="70">IF(T2026&lt;=1, "1",IF(AND(T2026&gt;1,T2026&lt;4), "2-3", "+4"))</f>
        <v>2-3</v>
      </c>
      <c r="V2026" s="5">
        <f>S2026*T2026</f>
        <v>13.733463649441568</v>
      </c>
      <c r="W2026" s="6" t="s">
        <v>2094</v>
      </c>
    </row>
    <row r="2027" spans="1:23" x14ac:dyDescent="0.15">
      <c r="A2027" s="2" t="s">
        <v>299</v>
      </c>
      <c r="B2027" s="4" t="s">
        <v>3937</v>
      </c>
      <c r="C2027" s="2" t="s">
        <v>1025</v>
      </c>
      <c r="D2027" s="2" t="s">
        <v>807</v>
      </c>
      <c r="E2027" s="1"/>
      <c r="F2027" s="2" t="s">
        <v>309</v>
      </c>
      <c r="G2027" s="2">
        <v>34.85</v>
      </c>
      <c r="H2027" s="2" t="str">
        <f t="shared" si="68"/>
        <v>W</v>
      </c>
      <c r="I2027" s="5">
        <v>20.83</v>
      </c>
      <c r="J2027" s="5">
        <v>1953.4</v>
      </c>
      <c r="K2027" s="5"/>
      <c r="L2027" s="5">
        <v>4.17</v>
      </c>
      <c r="M2027" s="5" t="s">
        <v>571</v>
      </c>
      <c r="N2027" s="5"/>
      <c r="O2027" s="5"/>
      <c r="P2027" s="5"/>
      <c r="R2027" s="5"/>
      <c r="S2027" s="5"/>
      <c r="T2027" s="2">
        <v>1.89</v>
      </c>
      <c r="U2027" s="2" t="str">
        <f t="shared" si="70"/>
        <v>2-3</v>
      </c>
      <c r="V2027" s="5"/>
      <c r="W2027" s="6" t="s">
        <v>3092</v>
      </c>
    </row>
    <row r="2028" spans="1:23" x14ac:dyDescent="0.15">
      <c r="A2028" s="2" t="s">
        <v>299</v>
      </c>
      <c r="B2028" s="4" t="s">
        <v>3937</v>
      </c>
      <c r="C2028" s="2" t="s">
        <v>1025</v>
      </c>
      <c r="D2028" s="2" t="s">
        <v>807</v>
      </c>
      <c r="E2028" s="1"/>
      <c r="F2028" s="2" t="s">
        <v>312</v>
      </c>
      <c r="G2028" s="2">
        <v>35.1</v>
      </c>
      <c r="H2028" s="2" t="str">
        <f t="shared" si="68"/>
        <v>W</v>
      </c>
      <c r="I2028" s="5">
        <v>23.45</v>
      </c>
      <c r="J2028" s="5">
        <f>AVERAGE(2598,2596)</f>
        <v>2597</v>
      </c>
      <c r="K2028" s="5"/>
      <c r="L2028" s="5">
        <f>AVERAGE(4.4,4,3.9,4)</f>
        <v>4.0750000000000002</v>
      </c>
      <c r="M2028" s="5" t="s">
        <v>571</v>
      </c>
      <c r="N2028" s="5"/>
      <c r="O2028" s="5">
        <f>AVERAGE(37.7,38.2,37.2,36.9)</f>
        <v>37.5</v>
      </c>
      <c r="P2028" s="5">
        <f xml:space="preserve"> (0.0799*O2028) + 35.058</f>
        <v>38.054249999999996</v>
      </c>
      <c r="Q2028" s="2" t="s">
        <v>376</v>
      </c>
      <c r="R2028" s="5">
        <f>P2028*L2028</f>
        <v>155.07106874999999</v>
      </c>
      <c r="S2028" s="5">
        <f>(R2028/J2028)*100</f>
        <v>5.9711616769349245</v>
      </c>
      <c r="T2028" s="2">
        <f>AVERAGE(1.67,1.76)</f>
        <v>1.7149999999999999</v>
      </c>
      <c r="U2028" s="2" t="str">
        <f t="shared" si="70"/>
        <v>2-3</v>
      </c>
      <c r="V2028" s="5">
        <f>S2028*T2028</f>
        <v>10.240542275943394</v>
      </c>
      <c r="W2028" s="6" t="s">
        <v>2095</v>
      </c>
    </row>
    <row r="2029" spans="1:23" x14ac:dyDescent="0.15">
      <c r="A2029" s="2" t="s">
        <v>299</v>
      </c>
      <c r="B2029" s="4" t="s">
        <v>3937</v>
      </c>
      <c r="C2029" s="2" t="s">
        <v>1025</v>
      </c>
      <c r="D2029" s="2" t="s">
        <v>807</v>
      </c>
      <c r="E2029" s="1"/>
      <c r="F2029" s="2" t="s">
        <v>311</v>
      </c>
      <c r="G2029" s="4">
        <v>35.380000000000003</v>
      </c>
      <c r="H2029" s="2" t="str">
        <f t="shared" si="68"/>
        <v>W</v>
      </c>
      <c r="I2029" s="5">
        <f>AVERAGE(21.2,21.2)</f>
        <v>21.2</v>
      </c>
      <c r="J2029" s="5">
        <f>AVERAGE(1907,1758)</f>
        <v>1832.5</v>
      </c>
      <c r="K2029" s="5"/>
      <c r="L2029" s="5">
        <f>AVERAGE(4.2,4.1,4.2,4.7)</f>
        <v>4.3</v>
      </c>
      <c r="M2029" s="5" t="s">
        <v>571</v>
      </c>
      <c r="N2029" s="5"/>
      <c r="O2029" s="5">
        <f>AVERAGE(34,34.1,34.6,33.8)</f>
        <v>34.125</v>
      </c>
      <c r="P2029" s="5">
        <f xml:space="preserve"> (0.0799*O2029) + 35.058</f>
        <v>37.784587500000001</v>
      </c>
      <c r="Q2029" s="2" t="s">
        <v>376</v>
      </c>
      <c r="R2029" s="5">
        <f>P2029*L2029</f>
        <v>162.47372625</v>
      </c>
      <c r="S2029" s="5">
        <f>(R2029/J2029)*100</f>
        <v>8.8662333560709428</v>
      </c>
      <c r="T2029" s="2">
        <f>AVERAGE(1.7,1.67)</f>
        <v>1.6850000000000001</v>
      </c>
      <c r="U2029" s="2" t="str">
        <f t="shared" si="70"/>
        <v>2-3</v>
      </c>
      <c r="V2029" s="5">
        <f>S2029*T2029</f>
        <v>14.939603204979539</v>
      </c>
      <c r="W2029" s="6" t="s">
        <v>2095</v>
      </c>
    </row>
    <row r="2030" spans="1:23" x14ac:dyDescent="0.15">
      <c r="A2030" s="2" t="s">
        <v>299</v>
      </c>
      <c r="B2030" s="4" t="s">
        <v>3937</v>
      </c>
      <c r="C2030" s="2" t="s">
        <v>1025</v>
      </c>
      <c r="D2030" s="2" t="s">
        <v>807</v>
      </c>
      <c r="E2030" s="1"/>
      <c r="F2030" s="2" t="s">
        <v>309</v>
      </c>
      <c r="G2030" s="2">
        <v>36.9</v>
      </c>
      <c r="H2030" s="2" t="str">
        <f t="shared" si="68"/>
        <v>W</v>
      </c>
      <c r="I2030" s="5">
        <v>23.45</v>
      </c>
      <c r="J2030" s="5">
        <v>2597</v>
      </c>
      <c r="K2030" s="5"/>
      <c r="L2030" s="7">
        <v>4.1500000000000004</v>
      </c>
      <c r="M2030" s="5" t="s">
        <v>571</v>
      </c>
      <c r="N2030" s="5">
        <v>45.35</v>
      </c>
      <c r="O2030" s="7">
        <v>37.450000000000003</v>
      </c>
      <c r="P2030" s="5">
        <v>40.69</v>
      </c>
      <c r="Q2030" s="2" t="s">
        <v>376</v>
      </c>
      <c r="R2030" s="5">
        <v>168.87</v>
      </c>
      <c r="S2030" s="5">
        <v>6.5019999999999998</v>
      </c>
      <c r="T2030" s="9">
        <v>1.72</v>
      </c>
      <c r="U2030" s="2" t="str">
        <f t="shared" si="70"/>
        <v>2-3</v>
      </c>
      <c r="V2030" s="5">
        <f>S2030*T2030</f>
        <v>11.183439999999999</v>
      </c>
      <c r="W2030" s="6" t="s">
        <v>2688</v>
      </c>
    </row>
    <row r="2031" spans="1:23" x14ac:dyDescent="0.15">
      <c r="A2031" s="2" t="s">
        <v>299</v>
      </c>
      <c r="B2031" s="4" t="s">
        <v>3937</v>
      </c>
      <c r="C2031" s="2" t="s">
        <v>1025</v>
      </c>
      <c r="D2031" s="2" t="s">
        <v>807</v>
      </c>
      <c r="E2031" s="1"/>
      <c r="F2031" s="2" t="s">
        <v>309</v>
      </c>
      <c r="G2031" s="2">
        <v>34.9</v>
      </c>
      <c r="H2031" s="2" t="str">
        <f t="shared" si="68"/>
        <v>W</v>
      </c>
      <c r="I2031" s="5">
        <v>21.2</v>
      </c>
      <c r="J2031" s="5">
        <v>1832.5</v>
      </c>
      <c r="K2031" s="5"/>
      <c r="L2031" s="7">
        <v>4.2</v>
      </c>
      <c r="M2031" s="5" t="s">
        <v>571</v>
      </c>
      <c r="N2031" s="5">
        <v>40.9</v>
      </c>
      <c r="O2031" s="7">
        <v>34.299999999999997</v>
      </c>
      <c r="P2031" s="5">
        <v>29.24</v>
      </c>
      <c r="Q2031" s="2" t="s">
        <v>376</v>
      </c>
      <c r="R2031" s="5">
        <v>122.82</v>
      </c>
      <c r="S2031" s="5">
        <v>6.702</v>
      </c>
      <c r="T2031" s="9">
        <v>1.85</v>
      </c>
      <c r="U2031" s="2" t="str">
        <f t="shared" si="70"/>
        <v>2-3</v>
      </c>
      <c r="V2031" s="5">
        <f>S2031*T2031</f>
        <v>12.3987</v>
      </c>
      <c r="W2031" s="6" t="s">
        <v>2688</v>
      </c>
    </row>
    <row r="2032" spans="1:23" x14ac:dyDescent="0.15">
      <c r="A2032" s="2" t="s">
        <v>299</v>
      </c>
      <c r="B2032" s="4" t="s">
        <v>3937</v>
      </c>
      <c r="C2032" s="2" t="s">
        <v>1025</v>
      </c>
      <c r="D2032" s="2" t="s">
        <v>807</v>
      </c>
      <c r="E2032" s="1"/>
      <c r="F2032" s="2" t="s">
        <v>4080</v>
      </c>
      <c r="G2032" s="2">
        <v>37</v>
      </c>
      <c r="H2032" s="2" t="str">
        <f t="shared" si="68"/>
        <v>W</v>
      </c>
      <c r="I2032" s="5"/>
      <c r="J2032" s="5"/>
      <c r="K2032" s="5">
        <v>17.5</v>
      </c>
      <c r="L2032" s="7"/>
      <c r="M2032" s="5" t="s">
        <v>571</v>
      </c>
      <c r="N2032" s="5"/>
      <c r="O2032" s="7"/>
      <c r="P2032" s="5"/>
      <c r="R2032" s="5"/>
      <c r="S2032" s="5"/>
      <c r="T2032" s="9"/>
      <c r="V2032" s="5"/>
      <c r="W2032" s="6" t="s">
        <v>4079</v>
      </c>
    </row>
    <row r="2033" spans="1:23" x14ac:dyDescent="0.15">
      <c r="A2033" s="2" t="s">
        <v>299</v>
      </c>
      <c r="B2033" s="4" t="s">
        <v>3937</v>
      </c>
      <c r="C2033" s="2" t="s">
        <v>1025</v>
      </c>
      <c r="D2033" s="2" t="s">
        <v>808</v>
      </c>
      <c r="E2033" s="1"/>
      <c r="F2033" s="2" t="s">
        <v>318</v>
      </c>
      <c r="G2033" s="2">
        <v>28</v>
      </c>
      <c r="H2033" s="2" t="str">
        <f t="shared" si="68"/>
        <v>W</v>
      </c>
      <c r="I2033" s="5">
        <v>14.4</v>
      </c>
      <c r="J2033" s="5">
        <f>0.000959*((I2033*10)^2.73)</f>
        <v>748.4248700159219</v>
      </c>
      <c r="K2033" s="5">
        <v>5</v>
      </c>
      <c r="L2033" s="5">
        <v>2.0699999999999998</v>
      </c>
      <c r="M2033" s="5" t="s">
        <v>571</v>
      </c>
      <c r="N2033" s="5"/>
      <c r="O2033" s="5"/>
      <c r="P2033" s="5"/>
      <c r="R2033" s="5"/>
      <c r="S2033" s="5"/>
      <c r="T2033" s="2">
        <v>1.34</v>
      </c>
      <c r="U2033" s="2" t="str">
        <f>IF(T2033&lt;=1, "1",IF(AND(T2033&gt;1,T2033&lt;4), "2-3", "+4"))</f>
        <v>2-3</v>
      </c>
      <c r="V2033" s="5"/>
      <c r="W2033" s="6" t="s">
        <v>2100</v>
      </c>
    </row>
    <row r="2034" spans="1:23" x14ac:dyDescent="0.15">
      <c r="A2034" s="2" t="s">
        <v>299</v>
      </c>
      <c r="B2034" s="4" t="s">
        <v>3937</v>
      </c>
      <c r="C2034" s="2" t="s">
        <v>1025</v>
      </c>
      <c r="D2034" s="2" t="s">
        <v>808</v>
      </c>
      <c r="E2034" s="1"/>
      <c r="F2034" s="2" t="s">
        <v>229</v>
      </c>
      <c r="G2034" s="2">
        <v>26.07</v>
      </c>
      <c r="H2034" s="2" t="str">
        <f t="shared" si="68"/>
        <v>W</v>
      </c>
      <c r="I2034" s="5">
        <v>17.010000000000002</v>
      </c>
      <c r="J2034" s="5">
        <v>1190.6300000000001</v>
      </c>
      <c r="K2034" s="5">
        <v>4</v>
      </c>
      <c r="L2034" s="5">
        <v>2.65</v>
      </c>
      <c r="M2034" s="5" t="s">
        <v>571</v>
      </c>
      <c r="N2034" s="5">
        <v>41.5</v>
      </c>
      <c r="O2034" s="5">
        <v>34.1</v>
      </c>
      <c r="P2034" s="5">
        <v>26.9</v>
      </c>
      <c r="Q2034" s="2" t="s">
        <v>18</v>
      </c>
      <c r="R2034" s="5">
        <v>71.284999999999997</v>
      </c>
      <c r="S2034" s="5">
        <v>5.99</v>
      </c>
      <c r="T2034" s="2">
        <v>0.63</v>
      </c>
      <c r="U2034" s="2" t="str">
        <f>IF(T2034&lt;=1, "1",IF(AND(T2034&gt;1,T2034&lt;4), "2-3", "+4"))</f>
        <v>1</v>
      </c>
      <c r="V2034" s="5">
        <f>S2034*T2034</f>
        <v>3.7737000000000003</v>
      </c>
      <c r="W2034" s="6" t="s">
        <v>2099</v>
      </c>
    </row>
    <row r="2035" spans="1:23" x14ac:dyDescent="0.15">
      <c r="A2035" s="2" t="s">
        <v>299</v>
      </c>
      <c r="B2035" s="4" t="s">
        <v>3937</v>
      </c>
      <c r="C2035" s="2" t="s">
        <v>1025</v>
      </c>
      <c r="D2035" s="2" t="s">
        <v>808</v>
      </c>
      <c r="E2035" s="1"/>
      <c r="F2035" s="2" t="s">
        <v>229</v>
      </c>
      <c r="G2035" s="2">
        <v>28.5</v>
      </c>
      <c r="H2035" s="2" t="str">
        <f t="shared" si="68"/>
        <v>W</v>
      </c>
      <c r="I2035" s="5">
        <v>17.8</v>
      </c>
      <c r="J2035" s="5">
        <v>1358.7</v>
      </c>
      <c r="K2035" s="5"/>
      <c r="L2035" s="5">
        <v>2</v>
      </c>
      <c r="M2035" s="5" t="s">
        <v>571</v>
      </c>
      <c r="N2035" s="5">
        <v>47</v>
      </c>
      <c r="O2035" s="5">
        <v>35</v>
      </c>
      <c r="P2035" s="5">
        <v>37.235999999999997</v>
      </c>
      <c r="Q2035" s="2" t="s">
        <v>376</v>
      </c>
      <c r="R2035" s="5">
        <v>74.471999999999994</v>
      </c>
      <c r="S2035" s="5">
        <v>5.48</v>
      </c>
      <c r="V2035" s="5"/>
      <c r="W2035" s="6" t="s">
        <v>2686</v>
      </c>
    </row>
    <row r="2036" spans="1:23" x14ac:dyDescent="0.15">
      <c r="A2036" s="2" t="s">
        <v>299</v>
      </c>
      <c r="B2036" s="4" t="s">
        <v>3937</v>
      </c>
      <c r="C2036" s="2" t="s">
        <v>1025</v>
      </c>
      <c r="D2036" s="2" t="s">
        <v>808</v>
      </c>
      <c r="E2036" s="1"/>
      <c r="F2036" s="2" t="s">
        <v>229</v>
      </c>
      <c r="H2036" s="2" t="s">
        <v>3887</v>
      </c>
      <c r="I2036" s="5">
        <v>16</v>
      </c>
      <c r="J2036" s="5">
        <f>0.000959*((I2036*10)^2.73)</f>
        <v>997.85206364924954</v>
      </c>
      <c r="K2036" s="5"/>
      <c r="L2036" s="5">
        <v>4.3</v>
      </c>
      <c r="M2036" s="5" t="s">
        <v>571</v>
      </c>
      <c r="N2036" s="5"/>
      <c r="O2036" s="5"/>
      <c r="P2036" s="5"/>
      <c r="R2036" s="5"/>
      <c r="S2036" s="5"/>
      <c r="V2036" s="5"/>
      <c r="W2036" s="6" t="s">
        <v>2101</v>
      </c>
    </row>
    <row r="2037" spans="1:23" x14ac:dyDescent="0.15">
      <c r="A2037" s="2" t="s">
        <v>299</v>
      </c>
      <c r="B2037" s="4" t="s">
        <v>3937</v>
      </c>
      <c r="C2037" s="2" t="s">
        <v>1025</v>
      </c>
      <c r="D2037" s="2" t="s">
        <v>808</v>
      </c>
      <c r="E2037" s="1"/>
      <c r="F2037" s="2" t="s">
        <v>229</v>
      </c>
      <c r="G2037" s="2">
        <v>28.86</v>
      </c>
      <c r="H2037" s="2" t="str">
        <f t="shared" si="68"/>
        <v>W</v>
      </c>
      <c r="I2037" s="5"/>
      <c r="J2037" s="5"/>
      <c r="K2037" s="5"/>
      <c r="L2037" s="5">
        <v>3</v>
      </c>
      <c r="M2037" s="5" t="s">
        <v>571</v>
      </c>
      <c r="N2037" s="5">
        <v>47</v>
      </c>
      <c r="O2037" s="5">
        <v>30.33</v>
      </c>
      <c r="P2037" s="5">
        <f xml:space="preserve"> (0.754*N2037) + (0.88*O2037) - 29.002</f>
        <v>33.126400000000004</v>
      </c>
      <c r="Q2037" s="2" t="s">
        <v>376</v>
      </c>
      <c r="R2037" s="5">
        <f>P2037*L2037</f>
        <v>99.379200000000012</v>
      </c>
      <c r="S2037" s="5"/>
      <c r="V2037" s="5"/>
      <c r="W2037" s="6" t="s">
        <v>2687</v>
      </c>
    </row>
    <row r="2038" spans="1:23" x14ac:dyDescent="0.15">
      <c r="A2038" s="2" t="s">
        <v>299</v>
      </c>
      <c r="B2038" s="4" t="s">
        <v>3937</v>
      </c>
      <c r="C2038" s="2" t="s">
        <v>1025</v>
      </c>
      <c r="D2038" s="2" t="s">
        <v>809</v>
      </c>
      <c r="E2038" s="1"/>
      <c r="F2038" s="2" t="s">
        <v>29</v>
      </c>
      <c r="H2038" s="2" t="s">
        <v>3887</v>
      </c>
      <c r="I2038" s="5"/>
      <c r="J2038" s="5"/>
      <c r="K2038" s="5"/>
      <c r="L2038" s="5"/>
      <c r="M2038" s="5" t="s">
        <v>571</v>
      </c>
      <c r="N2038" s="5"/>
      <c r="O2038" s="5"/>
      <c r="P2038" s="5"/>
      <c r="R2038" s="5"/>
      <c r="S2038" s="5"/>
      <c r="V2038" s="5"/>
      <c r="W2038" s="6" t="s">
        <v>838</v>
      </c>
    </row>
    <row r="2039" spans="1:23" x14ac:dyDescent="0.15">
      <c r="A2039" s="2" t="s">
        <v>299</v>
      </c>
      <c r="B2039" s="4" t="s">
        <v>3937</v>
      </c>
      <c r="C2039" s="2" t="s">
        <v>1025</v>
      </c>
      <c r="D2039" s="2" t="s">
        <v>809</v>
      </c>
      <c r="E2039" s="1"/>
      <c r="F2039" s="2" t="s">
        <v>4088</v>
      </c>
      <c r="H2039" s="2" t="s">
        <v>3887</v>
      </c>
      <c r="I2039" s="5"/>
      <c r="J2039" s="5"/>
      <c r="K2039" s="5">
        <v>13.8</v>
      </c>
      <c r="L2039" s="5"/>
      <c r="M2039" s="5" t="s">
        <v>571</v>
      </c>
      <c r="N2039" s="5"/>
      <c r="O2039" s="5"/>
      <c r="P2039" s="5"/>
      <c r="R2039" s="5"/>
      <c r="S2039" s="5"/>
      <c r="V2039" s="5"/>
      <c r="W2039" s="6" t="s">
        <v>4085</v>
      </c>
    </row>
    <row r="2040" spans="1:23" x14ac:dyDescent="0.15">
      <c r="A2040" s="2" t="s">
        <v>299</v>
      </c>
      <c r="B2040" s="4" t="s">
        <v>3937</v>
      </c>
      <c r="C2040" s="2" t="s">
        <v>1025</v>
      </c>
      <c r="D2040" s="2" t="s">
        <v>418</v>
      </c>
      <c r="E2040" s="1"/>
      <c r="F2040" s="2" t="s">
        <v>374</v>
      </c>
      <c r="G2040" s="2" t="s">
        <v>374</v>
      </c>
      <c r="H2040" s="2" t="str">
        <f t="shared" ref="H2040:H2047" si="71">IF(G2040="captive","C","W")</f>
        <v>C</v>
      </c>
      <c r="I2040" s="5">
        <f>EXP(LN(J2040/0.2652)/2.815)</f>
        <v>38.746006515372898</v>
      </c>
      <c r="J2040" s="5">
        <v>7842.1</v>
      </c>
      <c r="K2040" s="7">
        <f>MEDIAN(16,18)</f>
        <v>17</v>
      </c>
      <c r="L2040" s="5">
        <v>5.5</v>
      </c>
      <c r="M2040" s="5" t="s">
        <v>571</v>
      </c>
      <c r="N2040" s="5">
        <v>47.6</v>
      </c>
      <c r="O2040" s="5">
        <v>44.1</v>
      </c>
      <c r="P2040" s="5">
        <v>54.2</v>
      </c>
      <c r="Q2040" s="2" t="s">
        <v>18</v>
      </c>
      <c r="R2040" s="5">
        <v>298.10000000000002</v>
      </c>
      <c r="S2040" s="5">
        <v>3.8</v>
      </c>
      <c r="T2040" s="2">
        <v>1.05</v>
      </c>
      <c r="U2040" s="2" t="str">
        <f>IF(T2040&lt;=1, "1",IF(AND(T2040&gt;1,T2040&lt;4), "2-3", "+4"))</f>
        <v>2-3</v>
      </c>
      <c r="V2040" s="5">
        <f>S2040*T2040</f>
        <v>3.9899999999999998</v>
      </c>
      <c r="W2040" s="6" t="s">
        <v>3447</v>
      </c>
    </row>
    <row r="2041" spans="1:23" x14ac:dyDescent="0.15">
      <c r="A2041" s="2" t="s">
        <v>299</v>
      </c>
      <c r="B2041" s="4" t="s">
        <v>3937</v>
      </c>
      <c r="C2041" s="2" t="s">
        <v>1025</v>
      </c>
      <c r="D2041" s="2" t="s">
        <v>418</v>
      </c>
      <c r="E2041" s="1"/>
      <c r="F2041" s="2" t="s">
        <v>379</v>
      </c>
      <c r="G2041" s="2">
        <v>26.63</v>
      </c>
      <c r="H2041" s="2" t="str">
        <f t="shared" si="71"/>
        <v>W</v>
      </c>
      <c r="I2041" s="5">
        <v>34.799999999999997</v>
      </c>
      <c r="J2041" s="5">
        <f xml:space="preserve"> 0.2652*I2041^2.815</f>
        <v>5795.8760809662581</v>
      </c>
      <c r="K2041" s="5"/>
      <c r="L2041" s="5">
        <v>5.4</v>
      </c>
      <c r="M2041" s="5" t="s">
        <v>571</v>
      </c>
      <c r="N2041" s="5"/>
      <c r="O2041" s="5">
        <v>42.2</v>
      </c>
      <c r="P2041" s="5">
        <f xml:space="preserve"> (0.0799*O2041) + 35.058</f>
        <v>38.429780000000001</v>
      </c>
      <c r="Q2041" s="2" t="s">
        <v>376</v>
      </c>
      <c r="R2041" s="5">
        <f>P2041*L2041</f>
        <v>207.52081200000001</v>
      </c>
      <c r="S2041" s="5">
        <f>(R2041/J2041)*100</f>
        <v>3.5804908369504549</v>
      </c>
      <c r="T2041" s="9">
        <v>0.72</v>
      </c>
      <c r="U2041" s="2" t="str">
        <f>IF(T2041&lt;=1, "1",IF(AND(T2041&gt;1,T2041&lt;4), "2-3", "+4"))</f>
        <v>1</v>
      </c>
      <c r="V2041" s="5">
        <f>S2041*T2041</f>
        <v>2.5779534026043276</v>
      </c>
      <c r="W2041" s="6" t="s">
        <v>3093</v>
      </c>
    </row>
    <row r="2042" spans="1:23" x14ac:dyDescent="0.15">
      <c r="A2042" s="2" t="s">
        <v>299</v>
      </c>
      <c r="B2042" s="4" t="s">
        <v>3937</v>
      </c>
      <c r="C2042" s="2" t="s">
        <v>1025</v>
      </c>
      <c r="D2042" s="2" t="s">
        <v>418</v>
      </c>
      <c r="E2042" s="1"/>
      <c r="F2042" s="2" t="s">
        <v>419</v>
      </c>
      <c r="G2042" s="2">
        <v>26.5</v>
      </c>
      <c r="H2042" s="2" t="str">
        <f t="shared" si="71"/>
        <v>W</v>
      </c>
      <c r="I2042" s="5">
        <v>31.83</v>
      </c>
      <c r="J2042" s="5">
        <f xml:space="preserve"> 0.2652*I2042^2.815</f>
        <v>4508.7759765816418</v>
      </c>
      <c r="K2042" s="7">
        <v>13.9</v>
      </c>
      <c r="L2042" s="7">
        <v>6</v>
      </c>
      <c r="M2042" s="7" t="s">
        <v>571</v>
      </c>
      <c r="N2042" s="7"/>
      <c r="O2042" s="5"/>
      <c r="P2042" s="5"/>
      <c r="R2042" s="5"/>
      <c r="S2042" s="5"/>
      <c r="T2042" s="2">
        <v>2</v>
      </c>
      <c r="U2042" s="2" t="str">
        <f>IF(T2042&lt;=1, "1",IF(AND(T2042&gt;1,T2042&lt;4), "2-3", "+4"))</f>
        <v>2-3</v>
      </c>
      <c r="V2042" s="5"/>
      <c r="W2042" s="6" t="s">
        <v>2684</v>
      </c>
    </row>
    <row r="2043" spans="1:23" x14ac:dyDescent="0.15">
      <c r="A2043" s="2" t="s">
        <v>299</v>
      </c>
      <c r="B2043" s="4" t="s">
        <v>3937</v>
      </c>
      <c r="C2043" s="2" t="s">
        <v>1025</v>
      </c>
      <c r="D2043" s="2" t="s">
        <v>418</v>
      </c>
      <c r="E2043" s="1"/>
      <c r="F2043" s="2" t="s">
        <v>379</v>
      </c>
      <c r="G2043" s="2" t="s">
        <v>374</v>
      </c>
      <c r="H2043" s="2" t="str">
        <f t="shared" si="71"/>
        <v>C</v>
      </c>
      <c r="I2043" s="5">
        <v>38.1</v>
      </c>
      <c r="J2043" s="5">
        <v>11340</v>
      </c>
      <c r="K2043" s="5"/>
      <c r="L2043" s="7">
        <f>MEDIAN(4,7)</f>
        <v>5.5</v>
      </c>
      <c r="M2043" s="5" t="s">
        <v>571</v>
      </c>
      <c r="N2043" s="5"/>
      <c r="O2043" s="5"/>
      <c r="P2043" s="5"/>
      <c r="R2043" s="5"/>
      <c r="S2043" s="5"/>
      <c r="T2043" s="2" t="s">
        <v>382</v>
      </c>
      <c r="U2043" s="40" t="s">
        <v>395</v>
      </c>
      <c r="V2043" s="5"/>
      <c r="W2043" s="6" t="s">
        <v>2683</v>
      </c>
    </row>
    <row r="2044" spans="1:23" x14ac:dyDescent="0.15">
      <c r="A2044" s="2" t="s">
        <v>299</v>
      </c>
      <c r="B2044" s="4" t="s">
        <v>3937</v>
      </c>
      <c r="C2044" s="2" t="s">
        <v>1025</v>
      </c>
      <c r="D2044" s="2" t="s">
        <v>418</v>
      </c>
      <c r="E2044" s="1"/>
      <c r="F2044" s="2" t="s">
        <v>419</v>
      </c>
      <c r="G2044" s="2">
        <v>25.83</v>
      </c>
      <c r="H2044" s="2" t="str">
        <f t="shared" si="71"/>
        <v>W</v>
      </c>
      <c r="I2044" s="5">
        <v>27.25</v>
      </c>
      <c r="J2044" s="5">
        <f xml:space="preserve"> 0.2652*I2044^2.815</f>
        <v>2911.5901122465248</v>
      </c>
      <c r="K2044" s="5">
        <v>13.9</v>
      </c>
      <c r="L2044" s="7">
        <v>5.4</v>
      </c>
      <c r="M2044" s="5" t="s">
        <v>571</v>
      </c>
      <c r="N2044" s="7">
        <v>47.6</v>
      </c>
      <c r="O2044" s="5">
        <v>44.1</v>
      </c>
      <c r="P2044" s="5">
        <v>54.98</v>
      </c>
      <c r="Q2044" s="2" t="s">
        <v>18</v>
      </c>
      <c r="R2044" s="5">
        <f>P2044*L2044</f>
        <v>296.892</v>
      </c>
      <c r="S2044" s="5">
        <f>(R2044/J2044)*100</f>
        <v>10.196902330147154</v>
      </c>
      <c r="T2044" s="9"/>
      <c r="U2044" s="9"/>
      <c r="V2044" s="5"/>
      <c r="W2044" s="6" t="s">
        <v>2213</v>
      </c>
    </row>
    <row r="2045" spans="1:23" x14ac:dyDescent="0.15">
      <c r="A2045" s="2" t="s">
        <v>299</v>
      </c>
      <c r="B2045" s="4" t="s">
        <v>3937</v>
      </c>
      <c r="C2045" s="2" t="s">
        <v>1025</v>
      </c>
      <c r="D2045" s="2" t="s">
        <v>418</v>
      </c>
      <c r="E2045" s="1"/>
      <c r="F2045" s="2" t="s">
        <v>379</v>
      </c>
      <c r="G2045" s="2">
        <v>26.63</v>
      </c>
      <c r="H2045" s="2" t="str">
        <f t="shared" si="71"/>
        <v>W</v>
      </c>
      <c r="I2045" s="5">
        <v>35.200000000000003</v>
      </c>
      <c r="J2045" s="5">
        <f xml:space="preserve"> 0.2652*I2045^2.815</f>
        <v>5985.3715834839404</v>
      </c>
      <c r="K2045" s="5">
        <f>MEDIAN(18,20)</f>
        <v>19</v>
      </c>
      <c r="L2045" s="5">
        <v>5.4</v>
      </c>
      <c r="M2045" s="5" t="s">
        <v>571</v>
      </c>
      <c r="N2045" s="5">
        <v>47.6</v>
      </c>
      <c r="O2045" s="5">
        <v>44.1</v>
      </c>
      <c r="P2045" s="5">
        <v>54.3</v>
      </c>
      <c r="Q2045" s="2" t="s">
        <v>18</v>
      </c>
      <c r="R2045" s="5">
        <v>298</v>
      </c>
      <c r="S2045" s="5">
        <f>(R2045/J2045)*100</f>
        <v>4.9788053397102772</v>
      </c>
      <c r="T2045" s="9">
        <f>MEDIAN(1,2)</f>
        <v>1.5</v>
      </c>
      <c r="U2045" s="2" t="str">
        <f>IF(T2045&lt;=1, "1",IF(AND(T2045&gt;1,T2045&lt;4), "2-3", "+4"))</f>
        <v>2-3</v>
      </c>
      <c r="V2045" s="33">
        <f>T2045*S2045</f>
        <v>7.4682080095654158</v>
      </c>
      <c r="W2045" s="6" t="s">
        <v>3094</v>
      </c>
    </row>
    <row r="2046" spans="1:23" x14ac:dyDescent="0.15">
      <c r="A2046" s="2" t="s">
        <v>299</v>
      </c>
      <c r="B2046" s="4" t="s">
        <v>3937</v>
      </c>
      <c r="C2046" s="2" t="s">
        <v>1025</v>
      </c>
      <c r="D2046" s="2" t="s">
        <v>418</v>
      </c>
      <c r="E2046" s="1"/>
      <c r="F2046" s="2" t="s">
        <v>419</v>
      </c>
      <c r="G2046" s="2">
        <v>26.5</v>
      </c>
      <c r="H2046" s="2" t="str">
        <f t="shared" si="71"/>
        <v>W</v>
      </c>
      <c r="I2046" s="5"/>
      <c r="J2046" s="5"/>
      <c r="K2046" s="7">
        <f>MEDIAN(15,20)</f>
        <v>17.5</v>
      </c>
      <c r="L2046" s="7">
        <v>5.2</v>
      </c>
      <c r="M2046" s="5" t="s">
        <v>571</v>
      </c>
      <c r="N2046" s="7"/>
      <c r="O2046" s="5"/>
      <c r="P2046" s="5"/>
      <c r="R2046" s="5"/>
      <c r="S2046" s="5"/>
      <c r="T2046" s="2">
        <v>1.3</v>
      </c>
      <c r="U2046" s="2">
        <v>1</v>
      </c>
      <c r="V2046" s="5"/>
      <c r="W2046" s="6" t="s">
        <v>2685</v>
      </c>
    </row>
    <row r="2047" spans="1:23" x14ac:dyDescent="0.15">
      <c r="A2047" s="4" t="s">
        <v>299</v>
      </c>
      <c r="B2047" s="4" t="s">
        <v>3937</v>
      </c>
      <c r="C2047" s="4" t="s">
        <v>1025</v>
      </c>
      <c r="D2047" s="4" t="s">
        <v>367</v>
      </c>
      <c r="E2047" s="1"/>
      <c r="F2047" s="4" t="s">
        <v>319</v>
      </c>
      <c r="G2047" s="4">
        <v>33.67</v>
      </c>
      <c r="H2047" s="2" t="str">
        <f t="shared" si="71"/>
        <v>W</v>
      </c>
      <c r="I2047" s="5">
        <v>25.35</v>
      </c>
      <c r="J2047" s="5">
        <f>1.79143*I2047^2.3035</f>
        <v>3070.8816698848523</v>
      </c>
      <c r="K2047" s="33"/>
      <c r="L2047" s="33">
        <v>4.63</v>
      </c>
      <c r="M2047" s="5" t="s">
        <v>571</v>
      </c>
      <c r="N2047" s="5"/>
      <c r="O2047" s="5">
        <v>36.1</v>
      </c>
      <c r="P2047" s="5">
        <f xml:space="preserve"> (0.0799*O2047) + 35.058</f>
        <v>37.942390000000003</v>
      </c>
      <c r="Q2047" s="2" t="s">
        <v>376</v>
      </c>
      <c r="R2047" s="5">
        <f>P2047*L2047</f>
        <v>175.6732657</v>
      </c>
      <c r="S2047" s="5">
        <f>(R2047/J2047)*100</f>
        <v>5.720613315152165</v>
      </c>
      <c r="T2047" s="2">
        <v>0.62</v>
      </c>
      <c r="U2047" s="2" t="str">
        <f>IF(T2047&lt;=1, "1",IF(AND(T2047&gt;1,T2047&lt;4), "2-3", "+4"))</f>
        <v>1</v>
      </c>
      <c r="V2047" s="5">
        <f>S2047*T2047</f>
        <v>3.5467802553943422</v>
      </c>
      <c r="W2047" s="10" t="s">
        <v>1867</v>
      </c>
    </row>
    <row r="2048" spans="1:23" x14ac:dyDescent="0.15">
      <c r="A2048" s="4" t="s">
        <v>299</v>
      </c>
      <c r="B2048" s="4" t="s">
        <v>3937</v>
      </c>
      <c r="C2048" s="4" t="s">
        <v>1025</v>
      </c>
      <c r="D2048" s="4" t="s">
        <v>367</v>
      </c>
      <c r="E2048" s="1"/>
      <c r="F2048" s="4" t="s">
        <v>4089</v>
      </c>
      <c r="G2048" s="4"/>
      <c r="H2048" s="2" t="s">
        <v>3887</v>
      </c>
      <c r="I2048" s="5"/>
      <c r="J2048" s="5"/>
      <c r="K2048" s="33">
        <v>15.7</v>
      </c>
      <c r="L2048" s="33"/>
      <c r="M2048" s="5" t="s">
        <v>571</v>
      </c>
      <c r="N2048" s="5"/>
      <c r="O2048" s="5"/>
      <c r="P2048" s="5"/>
      <c r="R2048" s="5"/>
      <c r="S2048" s="5"/>
      <c r="V2048" s="5"/>
      <c r="W2048" s="6" t="s">
        <v>4085</v>
      </c>
    </row>
    <row r="2049" spans="1:23" x14ac:dyDescent="0.15">
      <c r="A2049" s="4" t="s">
        <v>299</v>
      </c>
      <c r="B2049" s="4" t="s">
        <v>3937</v>
      </c>
      <c r="C2049" s="4" t="s">
        <v>1025</v>
      </c>
      <c r="D2049" s="4" t="s">
        <v>367</v>
      </c>
      <c r="E2049" s="1"/>
      <c r="F2049" s="4" t="s">
        <v>248</v>
      </c>
      <c r="G2049" s="4">
        <v>33.68</v>
      </c>
      <c r="H2049" s="2" t="str">
        <f t="shared" ref="H2049:H2112" si="72">IF(G2049="captive","C","W")</f>
        <v>W</v>
      </c>
      <c r="I2049" s="5">
        <v>25.2</v>
      </c>
      <c r="J2049" s="5">
        <f>1.79143*I2049^2.3035</f>
        <v>3029.1863314577713</v>
      </c>
      <c r="K2049" s="33"/>
      <c r="L2049" s="33">
        <v>4.95</v>
      </c>
      <c r="M2049" s="5" t="s">
        <v>571</v>
      </c>
      <c r="N2049" s="5"/>
      <c r="O2049" s="5">
        <v>35.6</v>
      </c>
      <c r="P2049" s="5">
        <f xml:space="preserve"> (0.0799*O2049) + 35.058</f>
        <v>37.902439999999999</v>
      </c>
      <c r="Q2049" s="2" t="s">
        <v>376</v>
      </c>
      <c r="R2049" s="5">
        <f>P2049*L2049</f>
        <v>187.61707799999999</v>
      </c>
      <c r="S2049" s="5">
        <f>(R2049/J2049)*100</f>
        <v>6.1936459983203083</v>
      </c>
      <c r="T2049" s="2">
        <v>0.56999999999999995</v>
      </c>
      <c r="U2049" s="2" t="str">
        <f>IF(T2049&lt;=1, "1",IF(AND(T2049&gt;1,T2049&lt;4), "2-3", "+4"))</f>
        <v>1</v>
      </c>
      <c r="V2049" s="5">
        <f>S2049*T2049</f>
        <v>3.5303782190425754</v>
      </c>
      <c r="W2049" s="10" t="s">
        <v>1868</v>
      </c>
    </row>
    <row r="2050" spans="1:23" x14ac:dyDescent="0.15">
      <c r="A2050" s="2" t="s">
        <v>299</v>
      </c>
      <c r="B2050" s="4" t="s">
        <v>3937</v>
      </c>
      <c r="C2050" s="2" t="s">
        <v>1025</v>
      </c>
      <c r="D2050" s="2" t="s">
        <v>367</v>
      </c>
      <c r="E2050" s="1"/>
      <c r="F2050" s="2" t="s">
        <v>248</v>
      </c>
      <c r="G2050" s="2">
        <v>33.68</v>
      </c>
      <c r="H2050" s="2" t="str">
        <f t="shared" si="72"/>
        <v>W</v>
      </c>
      <c r="I2050" s="5">
        <v>25.35</v>
      </c>
      <c r="J2050" s="5">
        <f>1.79143*I2050^2.3035</f>
        <v>3070.8816698848523</v>
      </c>
      <c r="K2050" s="5"/>
      <c r="L2050" s="7">
        <v>5.09</v>
      </c>
      <c r="M2050" s="5" t="s">
        <v>571</v>
      </c>
      <c r="N2050" s="5">
        <f>(P2050 - 0.88*O2050 +29.002)/0.754</f>
        <v>46.642425729442969</v>
      </c>
      <c r="O2050" s="5">
        <v>36.11</v>
      </c>
      <c r="P2050" s="5">
        <f xml:space="preserve"> (0.0799*O2050) + 35.058</f>
        <v>37.943188999999997</v>
      </c>
      <c r="Q2050" s="2" t="s">
        <v>376</v>
      </c>
      <c r="R2050" s="5">
        <f>P2050*L2050</f>
        <v>193.13083200999998</v>
      </c>
      <c r="S2050" s="5">
        <f>(R2050/J2050)*100</f>
        <v>6.2891004203767222</v>
      </c>
      <c r="T2050" s="2" t="s">
        <v>550</v>
      </c>
      <c r="U2050" s="2">
        <v>1</v>
      </c>
      <c r="V2050" s="5"/>
      <c r="W2050" s="6" t="s">
        <v>3095</v>
      </c>
    </row>
    <row r="2051" spans="1:23" x14ac:dyDescent="0.15">
      <c r="A2051" s="2" t="s">
        <v>299</v>
      </c>
      <c r="B2051" s="4" t="s">
        <v>3937</v>
      </c>
      <c r="C2051" s="2" t="s">
        <v>1025</v>
      </c>
      <c r="D2051" s="2" t="s">
        <v>367</v>
      </c>
      <c r="E2051" s="1"/>
      <c r="F2051" s="2" t="s">
        <v>248</v>
      </c>
      <c r="G2051" s="2">
        <v>33.799999999999997</v>
      </c>
      <c r="H2051" s="2" t="str">
        <f t="shared" si="72"/>
        <v>W</v>
      </c>
      <c r="I2051" s="5"/>
      <c r="J2051" s="5"/>
      <c r="K2051" s="5"/>
      <c r="L2051" s="5">
        <v>5.7</v>
      </c>
      <c r="M2051" s="5" t="s">
        <v>571</v>
      </c>
      <c r="N2051" s="5"/>
      <c r="O2051" s="5"/>
      <c r="P2051" s="5"/>
      <c r="R2051" s="5"/>
      <c r="S2051" s="5"/>
      <c r="T2051" s="2">
        <v>1</v>
      </c>
      <c r="U2051" s="2" t="str">
        <f>IF(T2051&lt;=1, "1",IF(AND(T2051&gt;1,T2051&lt;4), "2-3", "+4"))</f>
        <v>1</v>
      </c>
      <c r="V2051" s="5"/>
      <c r="W2051" s="6" t="s">
        <v>3096</v>
      </c>
    </row>
    <row r="2052" spans="1:23" x14ac:dyDescent="0.15">
      <c r="A2052" s="2" t="s">
        <v>299</v>
      </c>
      <c r="B2052" s="4" t="s">
        <v>3937</v>
      </c>
      <c r="C2052" s="2" t="s">
        <v>1025</v>
      </c>
      <c r="D2052" s="2" t="s">
        <v>367</v>
      </c>
      <c r="E2052" s="1"/>
      <c r="F2052" s="2" t="s">
        <v>248</v>
      </c>
      <c r="G2052" s="2">
        <v>33.799999999999997</v>
      </c>
      <c r="H2052" s="2" t="str">
        <f t="shared" si="72"/>
        <v>W</v>
      </c>
      <c r="I2052" s="5">
        <v>24.43</v>
      </c>
      <c r="J2052" s="5">
        <v>2820</v>
      </c>
      <c r="K2052" s="5"/>
      <c r="L2052" s="5">
        <v>5.7</v>
      </c>
      <c r="M2052" s="5" t="s">
        <v>571</v>
      </c>
      <c r="N2052" s="5">
        <v>41.82</v>
      </c>
      <c r="O2052" s="5">
        <v>36.5</v>
      </c>
      <c r="P2052" s="5">
        <v>28.06</v>
      </c>
      <c r="Q2052" s="2" t="s">
        <v>376</v>
      </c>
      <c r="R2052" s="5">
        <v>159.94</v>
      </c>
      <c r="S2052" s="5">
        <v>5.67</v>
      </c>
      <c r="T2052" s="2">
        <v>0.78</v>
      </c>
      <c r="U2052" s="2" t="str">
        <f>IF(T2052&lt;=1, "1",IF(AND(T2052&gt;1,T2052&lt;4), "2-3", "+4"))</f>
        <v>1</v>
      </c>
      <c r="V2052" s="33">
        <f>T2052*S2052</f>
        <v>4.4226000000000001</v>
      </c>
      <c r="W2052" s="6" t="s">
        <v>3097</v>
      </c>
    </row>
    <row r="2053" spans="1:23" x14ac:dyDescent="0.15">
      <c r="A2053" s="2" t="s">
        <v>299</v>
      </c>
      <c r="B2053" s="4" t="s">
        <v>3937</v>
      </c>
      <c r="C2053" s="2" t="s">
        <v>1025</v>
      </c>
      <c r="D2053" s="2" t="s">
        <v>367</v>
      </c>
      <c r="E2053" s="1"/>
      <c r="F2053" s="2" t="s">
        <v>368</v>
      </c>
      <c r="G2053" s="2">
        <v>33.700000000000003</v>
      </c>
      <c r="H2053" s="2" t="str">
        <f t="shared" si="72"/>
        <v>W</v>
      </c>
      <c r="I2053" s="5"/>
      <c r="J2053" s="5"/>
      <c r="K2053" s="5">
        <f>MEDIAN(18,19)</f>
        <v>18.5</v>
      </c>
      <c r="L2053" s="5"/>
      <c r="M2053" s="5" t="s">
        <v>571</v>
      </c>
      <c r="N2053" s="5"/>
      <c r="O2053" s="5"/>
      <c r="P2053" s="5"/>
      <c r="R2053" s="5"/>
      <c r="S2053" s="5"/>
      <c r="V2053" s="5"/>
      <c r="W2053" s="6" t="s">
        <v>3328</v>
      </c>
    </row>
    <row r="2054" spans="1:23" x14ac:dyDescent="0.15">
      <c r="A2054" s="2" t="s">
        <v>299</v>
      </c>
      <c r="B2054" s="4" t="s">
        <v>3937</v>
      </c>
      <c r="C2054" s="2" t="s">
        <v>1025</v>
      </c>
      <c r="D2054" s="2" t="s">
        <v>367</v>
      </c>
      <c r="E2054" s="1"/>
      <c r="F2054" s="2" t="s">
        <v>248</v>
      </c>
      <c r="G2054" s="2">
        <v>32.17</v>
      </c>
      <c r="H2054" s="2" t="str">
        <f t="shared" si="72"/>
        <v>W</v>
      </c>
      <c r="I2054" s="5">
        <v>24</v>
      </c>
      <c r="J2054" s="5">
        <f>1.79143*I2054^2.3035</f>
        <v>2707.1756688566875</v>
      </c>
      <c r="K2054" s="5"/>
      <c r="L2054" s="5">
        <v>5.8</v>
      </c>
      <c r="M2054" s="5" t="s">
        <v>571</v>
      </c>
      <c r="N2054" s="5"/>
      <c r="O2054" s="5">
        <v>34.5</v>
      </c>
      <c r="P2054" s="5">
        <v>24.96</v>
      </c>
      <c r="Q2054" s="2" t="s">
        <v>376</v>
      </c>
      <c r="R2054" s="5">
        <v>144.78</v>
      </c>
      <c r="S2054" s="5">
        <f>(R2054/J2054)*100</f>
        <v>5.3480090585013444</v>
      </c>
      <c r="T2054" s="2">
        <v>0.51</v>
      </c>
      <c r="U2054" s="2" t="str">
        <f>IF(T2054&lt;=1, "1",IF(AND(T2054&gt;1,T2054&lt;4), "2-3", "+4"))</f>
        <v>1</v>
      </c>
      <c r="V2054" s="5">
        <f>S2054*T2054</f>
        <v>2.7274846198356859</v>
      </c>
      <c r="W2054" s="6" t="s">
        <v>3098</v>
      </c>
    </row>
    <row r="2055" spans="1:23" x14ac:dyDescent="0.15">
      <c r="A2055" s="4" t="s">
        <v>299</v>
      </c>
      <c r="B2055" s="4" t="s">
        <v>3937</v>
      </c>
      <c r="C2055" s="2" t="s">
        <v>1025</v>
      </c>
      <c r="D2055" s="2" t="s">
        <v>485</v>
      </c>
      <c r="E2055" s="1"/>
      <c r="F2055" s="2" t="s">
        <v>326</v>
      </c>
      <c r="G2055" s="2">
        <v>27.3</v>
      </c>
      <c r="H2055" s="2" t="str">
        <f t="shared" si="72"/>
        <v>W</v>
      </c>
      <c r="I2055" s="5">
        <v>27.4</v>
      </c>
      <c r="J2055" s="5">
        <f>0.2652*I2055^2.815</f>
        <v>2956.9321145092763</v>
      </c>
      <c r="K2055" s="5"/>
      <c r="L2055" s="5">
        <v>6.3</v>
      </c>
      <c r="M2055" s="5" t="s">
        <v>571</v>
      </c>
      <c r="N2055" s="5"/>
      <c r="O2055" s="5"/>
      <c r="P2055" s="5"/>
      <c r="R2055" s="5"/>
      <c r="S2055" s="5"/>
      <c r="V2055" s="5"/>
      <c r="W2055" s="6" t="s">
        <v>1870</v>
      </c>
    </row>
    <row r="2056" spans="1:23" x14ac:dyDescent="0.15">
      <c r="A2056" s="4" t="s">
        <v>299</v>
      </c>
      <c r="B2056" s="4" t="s">
        <v>3937</v>
      </c>
      <c r="C2056" s="2" t="s">
        <v>1025</v>
      </c>
      <c r="D2056" s="2" t="s">
        <v>485</v>
      </c>
      <c r="E2056" s="1"/>
      <c r="F2056" s="2" t="s">
        <v>327</v>
      </c>
      <c r="G2056" s="2">
        <v>26.8</v>
      </c>
      <c r="H2056" s="2" t="str">
        <f t="shared" si="72"/>
        <v>W</v>
      </c>
      <c r="I2056" s="5">
        <v>30.8</v>
      </c>
      <c r="J2056" s="5">
        <f>0.2652*I2056^2.815</f>
        <v>4110.0185942231983</v>
      </c>
      <c r="K2056" s="5"/>
      <c r="L2056" s="5">
        <v>8.1999999999999993</v>
      </c>
      <c r="M2056" s="5" t="s">
        <v>571</v>
      </c>
      <c r="N2056" s="5"/>
      <c r="O2056" s="5"/>
      <c r="P2056" s="5"/>
      <c r="R2056" s="5"/>
      <c r="S2056" s="5"/>
      <c r="V2056" s="5"/>
      <c r="W2056" s="6" t="s">
        <v>1870</v>
      </c>
    </row>
    <row r="2057" spans="1:23" x14ac:dyDescent="0.15">
      <c r="A2057" s="2" t="s">
        <v>299</v>
      </c>
      <c r="B2057" s="4" t="s">
        <v>3937</v>
      </c>
      <c r="C2057" s="2" t="s">
        <v>1025</v>
      </c>
      <c r="D2057" s="2" t="s">
        <v>485</v>
      </c>
      <c r="E2057" s="1"/>
      <c r="F2057" s="2" t="s">
        <v>69</v>
      </c>
      <c r="G2057" s="2">
        <v>29.65</v>
      </c>
      <c r="H2057" s="2" t="str">
        <f t="shared" si="72"/>
        <v>W</v>
      </c>
      <c r="I2057" s="5">
        <v>25.63</v>
      </c>
      <c r="J2057" s="5">
        <f>0.2652*I2057^2.815</f>
        <v>2450.1961106239255</v>
      </c>
      <c r="K2057" s="5">
        <v>11</v>
      </c>
      <c r="L2057" s="5">
        <v>4.08</v>
      </c>
      <c r="M2057" s="5" t="s">
        <v>571</v>
      </c>
      <c r="N2057" s="5"/>
      <c r="O2057" s="5"/>
      <c r="P2057" s="5"/>
      <c r="R2057" s="5"/>
      <c r="S2057" s="5"/>
      <c r="V2057" s="5"/>
      <c r="W2057" s="6" t="s">
        <v>3099</v>
      </c>
    </row>
    <row r="2058" spans="1:23" x14ac:dyDescent="0.15">
      <c r="A2058" s="4" t="s">
        <v>299</v>
      </c>
      <c r="B2058" s="4" t="s">
        <v>3937</v>
      </c>
      <c r="C2058" s="2" t="s">
        <v>1025</v>
      </c>
      <c r="D2058" s="2" t="s">
        <v>485</v>
      </c>
      <c r="E2058" s="1"/>
      <c r="F2058" s="2" t="s">
        <v>325</v>
      </c>
      <c r="G2058" s="2">
        <v>30.2</v>
      </c>
      <c r="H2058" s="2" t="str">
        <f t="shared" si="72"/>
        <v>W</v>
      </c>
      <c r="I2058" s="5"/>
      <c r="J2058" s="5"/>
      <c r="K2058" s="5"/>
      <c r="L2058" s="5">
        <v>5.04</v>
      </c>
      <c r="M2058" s="5" t="s">
        <v>571</v>
      </c>
      <c r="N2058" s="5">
        <v>42.2</v>
      </c>
      <c r="O2058" s="5">
        <v>41.43</v>
      </c>
      <c r="P2058" s="5">
        <v>37.700000000000003</v>
      </c>
      <c r="Q2058" s="2" t="s">
        <v>18</v>
      </c>
      <c r="R2058" s="5">
        <f>P2058*L2058</f>
        <v>190.00800000000001</v>
      </c>
      <c r="S2058" s="5"/>
      <c r="V2058" s="5"/>
      <c r="W2058" s="6" t="s">
        <v>2107</v>
      </c>
    </row>
    <row r="2059" spans="1:23" x14ac:dyDescent="0.15">
      <c r="A2059" s="4" t="s">
        <v>299</v>
      </c>
      <c r="B2059" s="4" t="s">
        <v>3937</v>
      </c>
      <c r="C2059" s="2" t="s">
        <v>1025</v>
      </c>
      <c r="D2059" s="2" t="s">
        <v>485</v>
      </c>
      <c r="E2059" s="1"/>
      <c r="F2059" s="2" t="s">
        <v>352</v>
      </c>
      <c r="G2059" s="2">
        <v>31.1</v>
      </c>
      <c r="H2059" s="2" t="str">
        <f t="shared" si="72"/>
        <v>W</v>
      </c>
      <c r="I2059" s="5"/>
      <c r="J2059" s="5"/>
      <c r="K2059" s="5"/>
      <c r="L2059" s="5">
        <v>4</v>
      </c>
      <c r="M2059" s="5" t="s">
        <v>571</v>
      </c>
      <c r="N2059" s="5">
        <f>(P2059 - 0.041*O2059+ 52.309)/2.131</f>
        <v>42.953636790239329</v>
      </c>
      <c r="O2059" s="5">
        <v>42.8</v>
      </c>
      <c r="P2059" s="5">
        <v>40.98</v>
      </c>
      <c r="Q2059" s="2" t="s">
        <v>18</v>
      </c>
      <c r="R2059" s="5">
        <v>163.9</v>
      </c>
      <c r="S2059" s="5"/>
      <c r="V2059" s="5"/>
      <c r="W2059" s="6" t="s">
        <v>1783</v>
      </c>
    </row>
    <row r="2060" spans="1:23" x14ac:dyDescent="0.15">
      <c r="A2060" s="2" t="s">
        <v>299</v>
      </c>
      <c r="B2060" s="4" t="s">
        <v>3937</v>
      </c>
      <c r="C2060" s="2" t="s">
        <v>1025</v>
      </c>
      <c r="D2060" s="2" t="s">
        <v>485</v>
      </c>
      <c r="E2060" s="1"/>
      <c r="F2060" s="2" t="s">
        <v>2290</v>
      </c>
      <c r="G2060" s="2">
        <v>29.53</v>
      </c>
      <c r="H2060" s="2" t="str">
        <f t="shared" si="72"/>
        <v>W</v>
      </c>
      <c r="I2060" s="5"/>
      <c r="J2060" s="5"/>
      <c r="K2060" s="5"/>
      <c r="L2060" s="5">
        <v>5.8</v>
      </c>
      <c r="M2060" s="5" t="s">
        <v>571</v>
      </c>
      <c r="N2060" s="5"/>
      <c r="O2060" s="5"/>
      <c r="P2060" s="5"/>
      <c r="R2060" s="5"/>
      <c r="S2060" s="5"/>
      <c r="V2060" s="5"/>
      <c r="W2060" s="6" t="s">
        <v>2679</v>
      </c>
    </row>
    <row r="2061" spans="1:23" x14ac:dyDescent="0.15">
      <c r="A2061" s="4" t="s">
        <v>299</v>
      </c>
      <c r="B2061" s="4" t="s">
        <v>3937</v>
      </c>
      <c r="C2061" s="2" t="s">
        <v>1025</v>
      </c>
      <c r="D2061" s="2" t="s">
        <v>485</v>
      </c>
      <c r="E2061" s="1"/>
      <c r="F2061" s="2" t="s">
        <v>329</v>
      </c>
      <c r="G2061" s="2">
        <v>29.7</v>
      </c>
      <c r="H2061" s="2" t="str">
        <f t="shared" si="72"/>
        <v>W</v>
      </c>
      <c r="I2061" s="5">
        <v>27</v>
      </c>
      <c r="J2061" s="5">
        <f>0.2652*I2061^2.815</f>
        <v>2837.0207735061394</v>
      </c>
      <c r="K2061" s="5"/>
      <c r="L2061" s="5">
        <v>5.8</v>
      </c>
      <c r="M2061" s="5" t="s">
        <v>571</v>
      </c>
      <c r="N2061" s="5"/>
      <c r="O2061" s="5"/>
      <c r="P2061" s="5"/>
      <c r="R2061" s="5"/>
      <c r="S2061" s="5"/>
      <c r="T2061" s="2">
        <v>1</v>
      </c>
      <c r="U2061" s="2" t="str">
        <f>IF(T2061&lt;=1, "1",IF(AND(T2061&gt;1,T2061&lt;4), "2-3", "+4"))</f>
        <v>1</v>
      </c>
      <c r="V2061" s="5"/>
      <c r="W2061" s="6" t="s">
        <v>2109</v>
      </c>
    </row>
    <row r="2062" spans="1:23" x14ac:dyDescent="0.15">
      <c r="A2062" s="2" t="s">
        <v>299</v>
      </c>
      <c r="B2062" s="4" t="s">
        <v>3937</v>
      </c>
      <c r="C2062" s="2" t="s">
        <v>1025</v>
      </c>
      <c r="D2062" s="2" t="s">
        <v>485</v>
      </c>
      <c r="E2062" s="1"/>
      <c r="F2062" s="2" t="s">
        <v>2290</v>
      </c>
      <c r="G2062" s="2">
        <v>29.53</v>
      </c>
      <c r="H2062" s="2" t="str">
        <f t="shared" si="72"/>
        <v>W</v>
      </c>
      <c r="I2062" s="5">
        <v>26.13</v>
      </c>
      <c r="J2062" s="5">
        <f>0.2652*I2062^2.815</f>
        <v>2587.1461205448518</v>
      </c>
      <c r="K2062" s="7">
        <f>MEDIAN(14,18)</f>
        <v>16</v>
      </c>
      <c r="L2062" s="5">
        <v>5.8</v>
      </c>
      <c r="M2062" s="5" t="s">
        <v>571</v>
      </c>
      <c r="N2062" s="5"/>
      <c r="O2062" s="5"/>
      <c r="P2062" s="5"/>
      <c r="R2062" s="5"/>
      <c r="S2062" s="5"/>
      <c r="T2062" s="2">
        <v>1</v>
      </c>
      <c r="U2062" s="2" t="str">
        <f>IF(T2062&lt;=1, "1",IF(AND(T2062&gt;1,T2062&lt;4), "2-3", "+4"))</f>
        <v>1</v>
      </c>
      <c r="V2062" s="5"/>
      <c r="W2062" s="6" t="s">
        <v>2678</v>
      </c>
    </row>
    <row r="2063" spans="1:23" ht="15" customHeight="1" x14ac:dyDescent="0.15">
      <c r="A2063" s="4" t="s">
        <v>299</v>
      </c>
      <c r="B2063" s="4" t="s">
        <v>3937</v>
      </c>
      <c r="C2063" s="2" t="s">
        <v>1025</v>
      </c>
      <c r="D2063" s="2" t="s">
        <v>485</v>
      </c>
      <c r="E2063" s="1"/>
      <c r="F2063" s="2" t="s">
        <v>323</v>
      </c>
      <c r="G2063" s="2">
        <v>31</v>
      </c>
      <c r="H2063" s="2" t="str">
        <f t="shared" si="72"/>
        <v>W</v>
      </c>
      <c r="I2063" s="5"/>
      <c r="J2063" s="5"/>
      <c r="K2063" s="5"/>
      <c r="L2063" s="5">
        <v>4.82</v>
      </c>
      <c r="M2063" s="4" t="s">
        <v>571</v>
      </c>
      <c r="N2063" s="5"/>
      <c r="O2063" s="5"/>
      <c r="P2063" s="5"/>
      <c r="R2063" s="5"/>
      <c r="S2063" s="5"/>
      <c r="V2063" s="5"/>
      <c r="W2063" s="6" t="s">
        <v>2106</v>
      </c>
    </row>
    <row r="2064" spans="1:23" x14ac:dyDescent="0.15">
      <c r="A2064" s="2" t="s">
        <v>299</v>
      </c>
      <c r="B2064" s="4" t="s">
        <v>3937</v>
      </c>
      <c r="C2064" s="2" t="s">
        <v>1025</v>
      </c>
      <c r="D2064" s="2" t="s">
        <v>485</v>
      </c>
      <c r="E2064" s="1"/>
      <c r="F2064" s="2" t="s">
        <v>486</v>
      </c>
      <c r="G2064" s="2">
        <v>27.18</v>
      </c>
      <c r="H2064" s="2" t="str">
        <f t="shared" si="72"/>
        <v>W</v>
      </c>
      <c r="I2064" s="5">
        <v>29.2</v>
      </c>
      <c r="J2064" s="5">
        <f>0.2652*I2064^2.815</f>
        <v>3536.9282234360635</v>
      </c>
      <c r="K2064" s="5">
        <v>7.9</v>
      </c>
      <c r="L2064" s="5"/>
      <c r="M2064" s="5" t="s">
        <v>571</v>
      </c>
      <c r="N2064" s="5"/>
      <c r="O2064" s="5"/>
      <c r="P2064" s="5"/>
      <c r="R2064" s="5"/>
      <c r="S2064" s="5"/>
      <c r="T2064" s="2">
        <v>2</v>
      </c>
      <c r="U2064" s="2" t="str">
        <f>IF(T2064&lt;=1, "1",IF(AND(T2064&gt;1,T2064&lt;4), "2-3", "+4"))</f>
        <v>2-3</v>
      </c>
      <c r="V2064" s="5"/>
      <c r="W2064" s="6" t="s">
        <v>2682</v>
      </c>
    </row>
    <row r="2065" spans="1:23" x14ac:dyDescent="0.15">
      <c r="A2065" s="2" t="s">
        <v>299</v>
      </c>
      <c r="B2065" s="4" t="s">
        <v>3937</v>
      </c>
      <c r="C2065" s="2" t="s">
        <v>1025</v>
      </c>
      <c r="D2065" s="2" t="s">
        <v>485</v>
      </c>
      <c r="E2065" s="1"/>
      <c r="F2065" s="2" t="s">
        <v>486</v>
      </c>
      <c r="G2065" s="2">
        <v>27.18</v>
      </c>
      <c r="H2065" s="2" t="str">
        <f t="shared" si="72"/>
        <v>W</v>
      </c>
      <c r="I2065" s="5">
        <v>32.6</v>
      </c>
      <c r="J2065" s="5">
        <f>0.2652*I2065^2.815</f>
        <v>4822.5980246683048</v>
      </c>
      <c r="K2065" s="5">
        <v>9.6</v>
      </c>
      <c r="L2065" s="5"/>
      <c r="M2065" s="5" t="s">
        <v>571</v>
      </c>
      <c r="N2065" s="5"/>
      <c r="O2065" s="5"/>
      <c r="P2065" s="5"/>
      <c r="R2065" s="5"/>
      <c r="S2065" s="5"/>
      <c r="T2065" s="2">
        <v>1</v>
      </c>
      <c r="U2065" s="2" t="str">
        <f>IF(T2065&lt;=1, "1",IF(AND(T2065&gt;1,T2065&lt;4), "2-3", "+4"))</f>
        <v>1</v>
      </c>
      <c r="V2065" s="5"/>
      <c r="W2065" s="6" t="s">
        <v>2682</v>
      </c>
    </row>
    <row r="2066" spans="1:23" x14ac:dyDescent="0.15">
      <c r="A2066" s="2" t="s">
        <v>299</v>
      </c>
      <c r="B2066" s="4" t="s">
        <v>3937</v>
      </c>
      <c r="C2066" s="2" t="s">
        <v>1025</v>
      </c>
      <c r="D2066" s="2" t="s">
        <v>485</v>
      </c>
      <c r="E2066" s="1"/>
      <c r="F2066" s="2" t="s">
        <v>330</v>
      </c>
      <c r="G2066" s="2">
        <v>30.82</v>
      </c>
      <c r="H2066" s="2" t="str">
        <f t="shared" si="72"/>
        <v>W</v>
      </c>
      <c r="I2066" s="5"/>
      <c r="J2066" s="5"/>
      <c r="K2066" s="5"/>
      <c r="L2066" s="5">
        <v>5.55</v>
      </c>
      <c r="M2066" s="5" t="s">
        <v>571</v>
      </c>
      <c r="N2066" s="5"/>
      <c r="O2066" s="5"/>
      <c r="P2066" s="5"/>
      <c r="R2066" s="5"/>
      <c r="S2066" s="5"/>
      <c r="T2066" s="2">
        <v>0.86</v>
      </c>
      <c r="U2066" s="2" t="str">
        <f>IF(T2066&lt;=1, "1",IF(AND(T2066&gt;1,T2066&lt;4), "2-3", "+4"))</f>
        <v>1</v>
      </c>
      <c r="V2066" s="5"/>
      <c r="W2066" s="6" t="s">
        <v>3100</v>
      </c>
    </row>
    <row r="2067" spans="1:23" x14ac:dyDescent="0.15">
      <c r="A2067" s="2" t="s">
        <v>299</v>
      </c>
      <c r="B2067" s="4" t="s">
        <v>3937</v>
      </c>
      <c r="C2067" s="2" t="s">
        <v>1025</v>
      </c>
      <c r="D2067" s="2" t="s">
        <v>485</v>
      </c>
      <c r="E2067" s="1"/>
      <c r="F2067" s="2" t="s">
        <v>320</v>
      </c>
      <c r="G2067" s="2">
        <v>30</v>
      </c>
      <c r="H2067" s="2" t="str">
        <f t="shared" si="72"/>
        <v>W</v>
      </c>
      <c r="I2067" s="5">
        <v>26.817</v>
      </c>
      <c r="J2067" s="5">
        <f>0.2652*I2067^2.815</f>
        <v>2783.2243171477189</v>
      </c>
      <c r="K2067" s="5">
        <v>10</v>
      </c>
      <c r="L2067" s="5">
        <v>5.18</v>
      </c>
      <c r="M2067" s="2" t="s">
        <v>571</v>
      </c>
      <c r="N2067" s="5">
        <v>42.8</v>
      </c>
      <c r="O2067" s="5">
        <v>42.8</v>
      </c>
      <c r="P2067" s="5">
        <v>40.869999999999997</v>
      </c>
      <c r="Q2067" s="2" t="s">
        <v>18</v>
      </c>
      <c r="R2067" s="5">
        <v>212.7</v>
      </c>
      <c r="S2067" s="5">
        <f>(R2067/J2067)*100</f>
        <v>7.6422154940776545</v>
      </c>
      <c r="T2067" s="2">
        <v>1</v>
      </c>
      <c r="U2067" s="2" t="str">
        <f>IF(T2067&lt;=1, "1",IF(AND(T2067&gt;1,T2067&lt;4), "2-3", "+4"))</f>
        <v>1</v>
      </c>
      <c r="V2067" s="5">
        <f>S2067*T2067</f>
        <v>7.6422154940776545</v>
      </c>
      <c r="W2067" s="6" t="s">
        <v>1869</v>
      </c>
    </row>
    <row r="2068" spans="1:23" x14ac:dyDescent="0.15">
      <c r="A2068" s="4" t="s">
        <v>299</v>
      </c>
      <c r="B2068" s="4" t="s">
        <v>3937</v>
      </c>
      <c r="C2068" s="2" t="s">
        <v>1025</v>
      </c>
      <c r="D2068" s="2" t="s">
        <v>485</v>
      </c>
      <c r="E2068" s="1"/>
      <c r="F2068" s="2" t="s">
        <v>328</v>
      </c>
      <c r="G2068" s="2">
        <v>30.8</v>
      </c>
      <c r="H2068" s="2" t="str">
        <f t="shared" si="72"/>
        <v>W</v>
      </c>
      <c r="I2068" s="5">
        <v>29</v>
      </c>
      <c r="J2068" s="5">
        <f>0.2652*I2068^2.815</f>
        <v>3469.1564338212506</v>
      </c>
      <c r="K2068" s="5"/>
      <c r="L2068" s="5">
        <v>7</v>
      </c>
      <c r="M2068" s="5" t="s">
        <v>571</v>
      </c>
      <c r="N2068" s="5">
        <f>(P2068+52.309-(0.041*O2068))/2.131</f>
        <v>44.566963866729239</v>
      </c>
      <c r="O2068" s="5">
        <v>44.8</v>
      </c>
      <c r="P2068" s="5">
        <v>44.5</v>
      </c>
      <c r="Q2068" s="2" t="s">
        <v>18</v>
      </c>
      <c r="R2068" s="5">
        <f>P2068*L2068</f>
        <v>311.5</v>
      </c>
      <c r="S2068" s="5">
        <f>(R2068/J2068)*100</f>
        <v>8.9791280947479493</v>
      </c>
      <c r="V2068" s="5"/>
      <c r="W2068" s="6" t="s">
        <v>866</v>
      </c>
    </row>
    <row r="2069" spans="1:23" x14ac:dyDescent="0.15">
      <c r="A2069" s="4" t="s">
        <v>299</v>
      </c>
      <c r="B2069" s="4" t="s">
        <v>3937</v>
      </c>
      <c r="C2069" s="2" t="s">
        <v>1025</v>
      </c>
      <c r="D2069" s="2" t="s">
        <v>485</v>
      </c>
      <c r="E2069" s="1"/>
      <c r="F2069" s="2" t="s">
        <v>324</v>
      </c>
      <c r="G2069" s="2">
        <v>26</v>
      </c>
      <c r="H2069" s="2" t="str">
        <f t="shared" si="72"/>
        <v>W</v>
      </c>
      <c r="I2069" s="5">
        <f>(AVERAGE(301,304,324,329,300,315,319)/10)</f>
        <v>31.314285714285717</v>
      </c>
      <c r="J2069" s="5">
        <f>0.2652*I2069^2.815</f>
        <v>4306.1453486732762</v>
      </c>
      <c r="K2069" s="5"/>
      <c r="L2069" s="5">
        <v>11.1</v>
      </c>
      <c r="M2069" s="5" t="s">
        <v>571</v>
      </c>
      <c r="N2069" s="5">
        <f>(P2069+52.309-(0.041*O2069))/2.131</f>
        <v>42.093608634443925</v>
      </c>
      <c r="O2069" s="5">
        <v>41.6</v>
      </c>
      <c r="P2069" s="5">
        <f>1.9363*(O2069)-41.452</f>
        <v>39.098079999999996</v>
      </c>
      <c r="Q2069" s="2" t="s">
        <v>376</v>
      </c>
      <c r="R2069" s="5">
        <f>P2069*L2069</f>
        <v>433.98868799999997</v>
      </c>
      <c r="S2069" s="5">
        <f>(R2069/J2069)*100</f>
        <v>10.078356693967889</v>
      </c>
      <c r="V2069" s="5"/>
      <c r="W2069" s="6" t="s">
        <v>2105</v>
      </c>
    </row>
    <row r="2070" spans="1:23" x14ac:dyDescent="0.15">
      <c r="A2070" s="4" t="s">
        <v>299</v>
      </c>
      <c r="B2070" s="4" t="s">
        <v>3937</v>
      </c>
      <c r="C2070" s="2" t="s">
        <v>1025</v>
      </c>
      <c r="D2070" s="2" t="s">
        <v>485</v>
      </c>
      <c r="E2070" s="1"/>
      <c r="F2070" s="2" t="s">
        <v>329</v>
      </c>
      <c r="G2070" s="2">
        <v>28.1</v>
      </c>
      <c r="H2070" s="2" t="str">
        <f t="shared" si="72"/>
        <v>W</v>
      </c>
      <c r="I2070" s="5"/>
      <c r="J2070" s="5"/>
      <c r="K2070" s="5"/>
      <c r="L2070" s="5"/>
      <c r="M2070" s="5" t="s">
        <v>571</v>
      </c>
      <c r="N2070" s="5"/>
      <c r="O2070" s="5"/>
      <c r="P2070" s="5"/>
      <c r="R2070" s="5"/>
      <c r="S2070" s="5"/>
      <c r="V2070" s="5"/>
      <c r="W2070" s="6" t="s">
        <v>4090</v>
      </c>
    </row>
    <row r="2071" spans="1:23" x14ac:dyDescent="0.15">
      <c r="A2071" s="4" t="s">
        <v>299</v>
      </c>
      <c r="B2071" s="4" t="s">
        <v>3937</v>
      </c>
      <c r="C2071" s="2" t="s">
        <v>1025</v>
      </c>
      <c r="D2071" s="2" t="s">
        <v>485</v>
      </c>
      <c r="E2071" s="1"/>
      <c r="F2071" s="2" t="s">
        <v>323</v>
      </c>
      <c r="G2071" s="2">
        <v>31</v>
      </c>
      <c r="H2071" s="2" t="str">
        <f t="shared" si="72"/>
        <v>W</v>
      </c>
      <c r="I2071" s="5"/>
      <c r="J2071" s="5"/>
      <c r="K2071" s="5"/>
      <c r="L2071" s="5">
        <v>5.0999999999999996</v>
      </c>
      <c r="M2071" s="5" t="s">
        <v>571</v>
      </c>
      <c r="N2071" s="5">
        <f>(P2071+52.309-(0.041*O2071))/2.131</f>
        <v>44.253871421867672</v>
      </c>
      <c r="O2071" s="5">
        <v>44</v>
      </c>
      <c r="P2071" s="5">
        <v>43.8</v>
      </c>
      <c r="Q2071" s="2" t="s">
        <v>18</v>
      </c>
      <c r="R2071" s="5">
        <f>P2071*L2071</f>
        <v>223.37999999999997</v>
      </c>
      <c r="S2071" s="5"/>
      <c r="V2071" s="5"/>
      <c r="W2071" s="6" t="s">
        <v>2104</v>
      </c>
    </row>
    <row r="2072" spans="1:23" x14ac:dyDescent="0.15">
      <c r="A2072" s="4" t="s">
        <v>299</v>
      </c>
      <c r="B2072" s="4" t="s">
        <v>3937</v>
      </c>
      <c r="C2072" s="2" t="s">
        <v>1025</v>
      </c>
      <c r="D2072" s="2" t="s">
        <v>485</v>
      </c>
      <c r="E2072" s="1"/>
      <c r="F2072" s="2" t="s">
        <v>321</v>
      </c>
      <c r="G2072" s="2">
        <v>30</v>
      </c>
      <c r="H2072" s="2" t="str">
        <f t="shared" si="72"/>
        <v>W</v>
      </c>
      <c r="I2072" s="5"/>
      <c r="J2072" s="5"/>
      <c r="K2072" s="5"/>
      <c r="L2072" s="5">
        <v>5.9</v>
      </c>
      <c r="M2072" s="5" t="s">
        <v>571</v>
      </c>
      <c r="N2072" s="5"/>
      <c r="O2072" s="5"/>
      <c r="P2072" s="5"/>
      <c r="R2072" s="5"/>
      <c r="S2072" s="5"/>
      <c r="V2072" s="5"/>
      <c r="W2072" s="6" t="s">
        <v>2102</v>
      </c>
    </row>
    <row r="2073" spans="1:23" x14ac:dyDescent="0.15">
      <c r="A2073" s="2" t="s">
        <v>299</v>
      </c>
      <c r="B2073" s="4" t="s">
        <v>3937</v>
      </c>
      <c r="C2073" s="2" t="s">
        <v>1025</v>
      </c>
      <c r="D2073" s="2" t="s">
        <v>485</v>
      </c>
      <c r="E2073" s="1"/>
      <c r="F2073" s="2" t="s">
        <v>486</v>
      </c>
      <c r="G2073" s="2">
        <v>32.6</v>
      </c>
      <c r="H2073" s="2" t="str">
        <f t="shared" si="72"/>
        <v>W</v>
      </c>
      <c r="I2073" s="5">
        <v>29</v>
      </c>
      <c r="J2073" s="5">
        <f>0.2652*I2073^2.815</f>
        <v>3469.1564338212506</v>
      </c>
      <c r="K2073" s="5"/>
      <c r="L2073" s="5">
        <v>4.5199999999999996</v>
      </c>
      <c r="M2073" s="5" t="s">
        <v>571</v>
      </c>
      <c r="N2073" s="5">
        <f>(P2073+52.309-(0.041*O2073))/2.131</f>
        <v>42.829413560523022</v>
      </c>
      <c r="O2073" s="5">
        <f>(P2073+41.452)/1.9363</f>
        <v>42.427309817693541</v>
      </c>
      <c r="P2073" s="5">
        <v>40.700000000000003</v>
      </c>
      <c r="Q2073" s="2" t="s">
        <v>18</v>
      </c>
      <c r="R2073" s="5">
        <v>277.75</v>
      </c>
      <c r="S2073" s="5">
        <f>(R2073/J2073)*100</f>
        <v>8.0062691117696421</v>
      </c>
      <c r="V2073" s="5"/>
      <c r="W2073" s="6" t="s">
        <v>2681</v>
      </c>
    </row>
    <row r="2074" spans="1:23" x14ac:dyDescent="0.15">
      <c r="A2074" s="2" t="s">
        <v>299</v>
      </c>
      <c r="B2074" s="4" t="s">
        <v>3937</v>
      </c>
      <c r="C2074" s="2" t="s">
        <v>1025</v>
      </c>
      <c r="D2074" s="2" t="s">
        <v>485</v>
      </c>
      <c r="E2074" s="1"/>
      <c r="F2074" s="2" t="s">
        <v>69</v>
      </c>
      <c r="G2074" s="2">
        <v>31.9</v>
      </c>
      <c r="H2074" s="2" t="str">
        <f t="shared" si="72"/>
        <v>W</v>
      </c>
      <c r="I2074" s="5">
        <v>30.6</v>
      </c>
      <c r="J2074" s="5">
        <f>0.2652*I2074^2.815</f>
        <v>4035.3325939141005</v>
      </c>
      <c r="K2074" s="5"/>
      <c r="L2074" s="5">
        <v>6.52</v>
      </c>
      <c r="M2074" s="5" t="s">
        <v>571</v>
      </c>
      <c r="N2074" s="5">
        <f>(P2074+52.309-(0.041*O2074))/2.131</f>
        <v>43.702134644940656</v>
      </c>
      <c r="O2074" s="5">
        <f>(P2074+41.452)/1.9363</f>
        <v>43.408562722718585</v>
      </c>
      <c r="P2074" s="5">
        <v>42.6</v>
      </c>
      <c r="Q2074" s="2" t="s">
        <v>18</v>
      </c>
      <c r="R2074" s="5">
        <v>183.96</v>
      </c>
      <c r="S2074" s="5">
        <f>(R2074/J2074)*100</f>
        <v>4.5587320429904556</v>
      </c>
      <c r="V2074" s="5"/>
      <c r="W2074" s="6" t="s">
        <v>2681</v>
      </c>
    </row>
    <row r="2075" spans="1:23" x14ac:dyDescent="0.15">
      <c r="A2075" s="4" t="s">
        <v>299</v>
      </c>
      <c r="B2075" s="4" t="s">
        <v>3937</v>
      </c>
      <c r="C2075" s="2" t="s">
        <v>1025</v>
      </c>
      <c r="D2075" s="2" t="s">
        <v>485</v>
      </c>
      <c r="E2075" s="1"/>
      <c r="F2075" s="2" t="s">
        <v>322</v>
      </c>
      <c r="G2075" s="2">
        <v>27</v>
      </c>
      <c r="H2075" s="2" t="str">
        <f t="shared" si="72"/>
        <v>W</v>
      </c>
      <c r="I2075" s="5">
        <v>27.84</v>
      </c>
      <c r="J2075" s="5">
        <f>0.2652*I2075^2.815</f>
        <v>3092.554805462411</v>
      </c>
      <c r="K2075" s="5"/>
      <c r="L2075" s="5">
        <v>5.8</v>
      </c>
      <c r="M2075" s="5" t="s">
        <v>571</v>
      </c>
      <c r="N2075" s="5"/>
      <c r="O2075" s="5"/>
      <c r="P2075" s="5"/>
      <c r="R2075" s="5"/>
      <c r="S2075" s="5"/>
      <c r="V2075" s="5"/>
      <c r="W2075" s="6" t="s">
        <v>2103</v>
      </c>
    </row>
    <row r="2076" spans="1:23" x14ac:dyDescent="0.15">
      <c r="A2076" s="2" t="s">
        <v>299</v>
      </c>
      <c r="B2076" s="4" t="s">
        <v>3937</v>
      </c>
      <c r="C2076" s="2" t="s">
        <v>1025</v>
      </c>
      <c r="D2076" s="2" t="s">
        <v>485</v>
      </c>
      <c r="E2076" s="1"/>
      <c r="F2076" s="2" t="s">
        <v>69</v>
      </c>
      <c r="G2076" s="2">
        <v>28.5</v>
      </c>
      <c r="H2076" s="2" t="str">
        <f t="shared" si="72"/>
        <v>W</v>
      </c>
      <c r="I2076" s="5">
        <v>26.47</v>
      </c>
      <c r="J2076" s="5">
        <f>0.2652*I2076^2.815</f>
        <v>2683.0320744284809</v>
      </c>
      <c r="K2076" s="7">
        <f>MEDIAN(5,8)</f>
        <v>6.5</v>
      </c>
      <c r="L2076" s="5">
        <v>8</v>
      </c>
      <c r="M2076" s="5" t="s">
        <v>571</v>
      </c>
      <c r="N2076" s="5">
        <f>(P2076+52.309-(0.041*O2076))/2.131</f>
        <v>42.246832473017371</v>
      </c>
      <c r="O2076" s="5">
        <v>41</v>
      </c>
      <c r="P2076" s="5">
        <v>39.4</v>
      </c>
      <c r="Q2076" s="2" t="s">
        <v>18</v>
      </c>
      <c r="R2076" s="5">
        <v>315.2</v>
      </c>
      <c r="S2076" s="5">
        <f>(R2076/J2076)*100</f>
        <v>11.747902792669427</v>
      </c>
      <c r="T2076" s="2" t="s">
        <v>549</v>
      </c>
      <c r="U2076" s="2">
        <v>1</v>
      </c>
      <c r="V2076" s="5"/>
      <c r="W2076" s="6" t="s">
        <v>2680</v>
      </c>
    </row>
    <row r="2077" spans="1:23" x14ac:dyDescent="0.15">
      <c r="A2077" s="2" t="s">
        <v>299</v>
      </c>
      <c r="B2077" s="4" t="s">
        <v>3937</v>
      </c>
      <c r="C2077" s="2" t="s">
        <v>1025</v>
      </c>
      <c r="D2077" s="2" t="s">
        <v>485</v>
      </c>
      <c r="E2077" s="1"/>
      <c r="F2077" s="2" t="s">
        <v>69</v>
      </c>
      <c r="G2077" s="2">
        <v>28.5</v>
      </c>
      <c r="H2077" s="2" t="str">
        <f t="shared" si="72"/>
        <v>W</v>
      </c>
      <c r="I2077" s="5">
        <v>28.19</v>
      </c>
      <c r="J2077" s="5">
        <f>0.2652*I2077^2.815</f>
        <v>3203.2523860045449</v>
      </c>
      <c r="K2077" s="7">
        <f>MEDIAN(5,8)</f>
        <v>6.5</v>
      </c>
      <c r="L2077" s="5">
        <v>12.56</v>
      </c>
      <c r="M2077" s="5" t="s">
        <v>571</v>
      </c>
      <c r="N2077" s="5">
        <f>(P2077+52.309-(0.041*O2077))/2.131</f>
        <v>38.859690286250583</v>
      </c>
      <c r="O2077" s="5">
        <v>39</v>
      </c>
      <c r="P2077" s="5">
        <v>32.1</v>
      </c>
      <c r="Q2077" s="2" t="s">
        <v>18</v>
      </c>
      <c r="R2077" s="5">
        <v>403.18</v>
      </c>
      <c r="S2077" s="5">
        <f>(R2077/J2077)*100</f>
        <v>12.586582367394762</v>
      </c>
      <c r="T2077" s="2" t="s">
        <v>549</v>
      </c>
      <c r="U2077" s="2">
        <v>1</v>
      </c>
      <c r="V2077" s="5"/>
      <c r="W2077" s="6" t="s">
        <v>2680</v>
      </c>
    </row>
    <row r="2078" spans="1:23" x14ac:dyDescent="0.15">
      <c r="A2078" s="2" t="s">
        <v>299</v>
      </c>
      <c r="B2078" s="4" t="s">
        <v>3937</v>
      </c>
      <c r="C2078" s="2" t="s">
        <v>1025</v>
      </c>
      <c r="D2078" s="2" t="s">
        <v>485</v>
      </c>
      <c r="E2078" s="1"/>
      <c r="F2078" s="2" t="s">
        <v>69</v>
      </c>
      <c r="G2078" s="2">
        <v>29.68</v>
      </c>
      <c r="H2078" s="2" t="str">
        <f t="shared" si="72"/>
        <v>W</v>
      </c>
      <c r="I2078" s="5">
        <v>26.11</v>
      </c>
      <c r="J2078" s="5">
        <v>3291</v>
      </c>
      <c r="K2078" s="5"/>
      <c r="L2078" s="5">
        <v>5.76</v>
      </c>
      <c r="M2078" s="5" t="s">
        <v>571</v>
      </c>
      <c r="N2078" s="5"/>
      <c r="O2078" s="5"/>
      <c r="P2078" s="5"/>
      <c r="R2078" s="5"/>
      <c r="S2078" s="5"/>
      <c r="V2078" s="5"/>
      <c r="W2078" s="6" t="s">
        <v>3327</v>
      </c>
    </row>
    <row r="2079" spans="1:23" x14ac:dyDescent="0.15">
      <c r="A2079" s="4" t="s">
        <v>299</v>
      </c>
      <c r="B2079" s="4" t="s">
        <v>3937</v>
      </c>
      <c r="C2079" s="2" t="s">
        <v>1025</v>
      </c>
      <c r="D2079" s="2" t="s">
        <v>485</v>
      </c>
      <c r="E2079" s="1"/>
      <c r="F2079" s="2" t="s">
        <v>330</v>
      </c>
      <c r="G2079" s="2">
        <v>30.82</v>
      </c>
      <c r="H2079" s="2" t="str">
        <f t="shared" si="72"/>
        <v>W</v>
      </c>
      <c r="I2079" s="5">
        <v>27.5</v>
      </c>
      <c r="J2079" s="5">
        <f>0.2652*I2079^2.815</f>
        <v>2987.4115302108216</v>
      </c>
      <c r="K2079" s="5"/>
      <c r="L2079" s="5">
        <v>5.5</v>
      </c>
      <c r="M2079" s="5" t="s">
        <v>571</v>
      </c>
      <c r="N2079" s="5"/>
      <c r="O2079" s="5"/>
      <c r="P2079" s="5"/>
      <c r="R2079" s="5"/>
      <c r="S2079" s="5"/>
      <c r="V2079" s="5"/>
      <c r="W2079" s="6" t="s">
        <v>2110</v>
      </c>
    </row>
    <row r="2080" spans="1:23" x14ac:dyDescent="0.15">
      <c r="A2080" s="4" t="s">
        <v>299</v>
      </c>
      <c r="B2080" s="4" t="s">
        <v>3937</v>
      </c>
      <c r="C2080" s="2" t="s">
        <v>1025</v>
      </c>
      <c r="D2080" s="2" t="s">
        <v>485</v>
      </c>
      <c r="E2080" s="1"/>
      <c r="F2080" s="2" t="s">
        <v>331</v>
      </c>
      <c r="G2080" s="2">
        <v>31.18</v>
      </c>
      <c r="H2080" s="2" t="str">
        <f t="shared" si="72"/>
        <v>W</v>
      </c>
      <c r="I2080" s="5">
        <v>27.8</v>
      </c>
      <c r="J2080" s="5">
        <f>0.2652*I2080^2.815</f>
        <v>3080.0631456456854</v>
      </c>
      <c r="K2080" s="5"/>
      <c r="L2080" s="5">
        <v>5.6</v>
      </c>
      <c r="M2080" s="5" t="s">
        <v>571</v>
      </c>
      <c r="N2080" s="33"/>
      <c r="O2080" s="5"/>
      <c r="P2080" s="5"/>
      <c r="R2080" s="5"/>
      <c r="S2080" s="5"/>
      <c r="V2080" s="5"/>
      <c r="W2080" s="6" t="s">
        <v>2110</v>
      </c>
    </row>
    <row r="2081" spans="1:23" x14ac:dyDescent="0.15">
      <c r="A2081" s="2" t="s">
        <v>299</v>
      </c>
      <c r="B2081" s="4" t="s">
        <v>3937</v>
      </c>
      <c r="C2081" s="2" t="s">
        <v>1025</v>
      </c>
      <c r="D2081" s="2" t="s">
        <v>485</v>
      </c>
      <c r="E2081" s="1"/>
      <c r="F2081" s="2" t="s">
        <v>69</v>
      </c>
      <c r="G2081" s="2" t="s">
        <v>374</v>
      </c>
      <c r="H2081" s="2" t="str">
        <f t="shared" si="72"/>
        <v>C</v>
      </c>
      <c r="I2081" s="5"/>
      <c r="J2081" s="5"/>
      <c r="K2081" s="5"/>
      <c r="L2081" s="5">
        <v>6.71</v>
      </c>
      <c r="M2081" s="5" t="s">
        <v>571</v>
      </c>
      <c r="N2081" s="5"/>
      <c r="O2081" s="5"/>
      <c r="P2081" s="5"/>
      <c r="R2081" s="5"/>
      <c r="S2081" s="5"/>
      <c r="T2081" s="2">
        <v>1</v>
      </c>
      <c r="U2081" s="2" t="str">
        <f>IF(T2081&lt;=1, "1",IF(AND(T2081&gt;1,T2081&lt;4), "2-3", "+4"))</f>
        <v>1</v>
      </c>
      <c r="V2081" s="5"/>
      <c r="W2081" s="6" t="s">
        <v>3101</v>
      </c>
    </row>
    <row r="2082" spans="1:23" ht="13.5" customHeight="1" x14ac:dyDescent="0.15">
      <c r="A2082" s="4" t="s">
        <v>299</v>
      </c>
      <c r="B2082" s="4" t="s">
        <v>3937</v>
      </c>
      <c r="C2082" s="2" t="s">
        <v>1025</v>
      </c>
      <c r="D2082" s="2" t="s">
        <v>485</v>
      </c>
      <c r="E2082" s="1"/>
      <c r="F2082" s="2" t="s">
        <v>326</v>
      </c>
      <c r="G2082" s="2">
        <v>27.3</v>
      </c>
      <c r="H2082" s="2" t="str">
        <f t="shared" si="72"/>
        <v>W</v>
      </c>
      <c r="I2082" s="5">
        <f>(AVERAGE(312,312,327,323,307,307,304,304,324,324,288,344,327,327,292,338,338,333,299,319,319,327,327,327,269,329,326,270,314))/10</f>
        <v>31.575862068965517</v>
      </c>
      <c r="J2082" s="5">
        <f>0.2652*I2082^2.815</f>
        <v>4408.1712074216721</v>
      </c>
      <c r="K2082" s="5"/>
      <c r="L2082" s="5">
        <f>AVERAGE(8.73,8.11)</f>
        <v>8.42</v>
      </c>
      <c r="M2082" s="5" t="s">
        <v>571</v>
      </c>
      <c r="N2082" s="33"/>
      <c r="O2082" s="5"/>
      <c r="P2082" s="5"/>
      <c r="R2082" s="5"/>
      <c r="S2082" s="5"/>
      <c r="V2082" s="5"/>
      <c r="W2082" s="6" t="s">
        <v>2108</v>
      </c>
    </row>
    <row r="2083" spans="1:23" x14ac:dyDescent="0.15">
      <c r="A2083" s="2" t="s">
        <v>299</v>
      </c>
      <c r="B2083" s="4" t="s">
        <v>3937</v>
      </c>
      <c r="C2083" s="2" t="s">
        <v>1025</v>
      </c>
      <c r="D2083" s="2" t="s">
        <v>485</v>
      </c>
      <c r="E2083" s="1"/>
      <c r="F2083" s="2" t="s">
        <v>123</v>
      </c>
      <c r="H2083" s="2" t="s">
        <v>3887</v>
      </c>
      <c r="I2083" s="5">
        <v>22.1</v>
      </c>
      <c r="J2083" s="5">
        <f>0.2652*I2083^2.815</f>
        <v>1614.4989620794129</v>
      </c>
      <c r="K2083" s="5"/>
      <c r="L2083" s="5">
        <v>3.8</v>
      </c>
      <c r="M2083" s="5" t="s">
        <v>571</v>
      </c>
      <c r="N2083" s="5"/>
      <c r="O2083" s="5">
        <v>43.3</v>
      </c>
      <c r="P2083" s="5">
        <v>41.75</v>
      </c>
      <c r="Q2083" s="2" t="s">
        <v>376</v>
      </c>
      <c r="R2083" s="5">
        <v>158.66</v>
      </c>
      <c r="S2083" s="5">
        <f>(R2083/J2083)*100</f>
        <v>9.8271973984828076</v>
      </c>
      <c r="T2083" s="2">
        <v>0.7</v>
      </c>
      <c r="U2083" s="2" t="str">
        <f>IF(T2083&lt;=1, "1",IF(AND(T2083&gt;1,T2083&lt;4), "2-3", "+4"))</f>
        <v>1</v>
      </c>
      <c r="V2083" s="5">
        <f>S2083*T2083</f>
        <v>6.8790381789379653</v>
      </c>
      <c r="W2083" s="6" t="s">
        <v>3105</v>
      </c>
    </row>
    <row r="2084" spans="1:23" x14ac:dyDescent="0.15">
      <c r="A2084" s="2" t="s">
        <v>299</v>
      </c>
      <c r="B2084" s="2" t="s">
        <v>3939</v>
      </c>
      <c r="C2084" s="2" t="s">
        <v>1031</v>
      </c>
      <c r="D2084" s="2" t="s">
        <v>423</v>
      </c>
      <c r="E2084" s="1"/>
      <c r="F2084" s="2" t="s">
        <v>374</v>
      </c>
      <c r="G2084" s="2" t="s">
        <v>374</v>
      </c>
      <c r="H2084" s="2" t="str">
        <f t="shared" si="72"/>
        <v>C</v>
      </c>
      <c r="I2084" s="5"/>
      <c r="J2084" s="5"/>
      <c r="K2084" s="7"/>
      <c r="L2084" s="5">
        <v>1.74</v>
      </c>
      <c r="M2084" s="5" t="s">
        <v>571</v>
      </c>
      <c r="N2084" s="5"/>
      <c r="O2084" s="5"/>
      <c r="P2084" s="5"/>
      <c r="R2084" s="5"/>
      <c r="S2084" s="5"/>
      <c r="T2084" s="2" t="s">
        <v>372</v>
      </c>
      <c r="U2084" s="40" t="s">
        <v>395</v>
      </c>
      <c r="V2084" s="5"/>
      <c r="W2084" s="6" t="s">
        <v>2673</v>
      </c>
    </row>
    <row r="2085" spans="1:23" x14ac:dyDescent="0.15">
      <c r="A2085" s="2" t="s">
        <v>299</v>
      </c>
      <c r="B2085" s="2" t="s">
        <v>3939</v>
      </c>
      <c r="C2085" s="2" t="s">
        <v>1031</v>
      </c>
      <c r="D2085" s="2" t="s">
        <v>423</v>
      </c>
      <c r="E2085" s="1"/>
      <c r="F2085" s="2" t="s">
        <v>304</v>
      </c>
      <c r="H2085" s="2" t="s">
        <v>3887</v>
      </c>
      <c r="I2085" s="5"/>
      <c r="J2085" s="5"/>
      <c r="K2085" s="5"/>
      <c r="L2085" s="5">
        <v>3</v>
      </c>
      <c r="M2085" s="5" t="s">
        <v>571</v>
      </c>
      <c r="N2085" s="5"/>
      <c r="O2085" s="5">
        <v>21.5</v>
      </c>
      <c r="P2085" s="5"/>
      <c r="R2085" s="5"/>
      <c r="S2085" s="5"/>
      <c r="T2085" s="2">
        <v>2</v>
      </c>
      <c r="U2085" s="2" t="str">
        <f>IF(T2085&lt;=1, "1",IF(AND(T2085&gt;1,T2085&lt;4), "2-3", "+4"))</f>
        <v>2-3</v>
      </c>
      <c r="V2085" s="5"/>
      <c r="W2085" s="6" t="s">
        <v>2677</v>
      </c>
    </row>
    <row r="2086" spans="1:23" x14ac:dyDescent="0.15">
      <c r="A2086" s="2" t="s">
        <v>299</v>
      </c>
      <c r="B2086" s="2" t="s">
        <v>3939</v>
      </c>
      <c r="C2086" s="2" t="s">
        <v>1031</v>
      </c>
      <c r="D2086" s="2" t="s">
        <v>423</v>
      </c>
      <c r="E2086" s="1"/>
      <c r="F2086" s="2" t="s">
        <v>374</v>
      </c>
      <c r="G2086" s="2" t="s">
        <v>374</v>
      </c>
      <c r="H2086" s="2" t="str">
        <f t="shared" si="72"/>
        <v>C</v>
      </c>
      <c r="I2086" s="5"/>
      <c r="J2086" s="5"/>
      <c r="K2086" s="7"/>
      <c r="L2086" s="5">
        <v>2</v>
      </c>
      <c r="M2086" s="5" t="s">
        <v>571</v>
      </c>
      <c r="N2086" s="5">
        <v>32.75</v>
      </c>
      <c r="O2086" s="5">
        <v>21</v>
      </c>
      <c r="P2086" s="5">
        <v>8.282</v>
      </c>
      <c r="Q2086" s="2" t="s">
        <v>376</v>
      </c>
      <c r="R2086" s="5">
        <v>16.559999999999999</v>
      </c>
      <c r="S2086" s="5"/>
      <c r="V2086" s="5"/>
      <c r="W2086" s="6" t="s">
        <v>2674</v>
      </c>
    </row>
    <row r="2087" spans="1:23" x14ac:dyDescent="0.15">
      <c r="A2087" s="2" t="s">
        <v>299</v>
      </c>
      <c r="B2087" s="2" t="s">
        <v>3939</v>
      </c>
      <c r="C2087" s="2" t="s">
        <v>1031</v>
      </c>
      <c r="D2087" s="2" t="s">
        <v>423</v>
      </c>
      <c r="E2087" s="1"/>
      <c r="F2087" s="2" t="s">
        <v>374</v>
      </c>
      <c r="G2087" s="2" t="s">
        <v>374</v>
      </c>
      <c r="H2087" s="2" t="str">
        <f t="shared" si="72"/>
        <v>C</v>
      </c>
      <c r="I2087" s="5"/>
      <c r="J2087" s="5"/>
      <c r="K2087" s="7"/>
      <c r="L2087" s="5">
        <v>2</v>
      </c>
      <c r="M2087" s="5" t="s">
        <v>571</v>
      </c>
      <c r="N2087" s="5">
        <v>31</v>
      </c>
      <c r="O2087" s="5">
        <v>22.5</v>
      </c>
      <c r="P2087" s="5">
        <v>11.15</v>
      </c>
      <c r="Q2087" s="2" t="s">
        <v>376</v>
      </c>
      <c r="R2087" s="5">
        <v>22.3</v>
      </c>
      <c r="S2087" s="5"/>
      <c r="V2087" s="5"/>
      <c r="W2087" s="6" t="s">
        <v>2672</v>
      </c>
    </row>
    <row r="2088" spans="1:23" x14ac:dyDescent="0.15">
      <c r="A2088" s="2" t="s">
        <v>299</v>
      </c>
      <c r="B2088" s="2" t="s">
        <v>3939</v>
      </c>
      <c r="C2088" s="2" t="s">
        <v>1031</v>
      </c>
      <c r="D2088" s="2" t="s">
        <v>423</v>
      </c>
      <c r="E2088" s="1"/>
      <c r="F2088" s="2" t="s">
        <v>304</v>
      </c>
      <c r="G2088" s="2">
        <v>-33.64</v>
      </c>
      <c r="H2088" s="2" t="str">
        <f t="shared" si="72"/>
        <v>W</v>
      </c>
      <c r="I2088" s="5"/>
      <c r="J2088" s="5"/>
      <c r="K2088" s="7"/>
      <c r="L2088" s="5">
        <v>2</v>
      </c>
      <c r="M2088" s="5" t="s">
        <v>571</v>
      </c>
      <c r="N2088" s="5">
        <v>32.54</v>
      </c>
      <c r="O2088" s="5">
        <v>20.84</v>
      </c>
      <c r="P2088" s="5">
        <v>8.0489999999999995</v>
      </c>
      <c r="Q2088" s="2" t="s">
        <v>376</v>
      </c>
      <c r="R2088" s="5">
        <v>16.100000000000001</v>
      </c>
      <c r="S2088" s="5"/>
      <c r="T2088" s="2" t="s">
        <v>524</v>
      </c>
      <c r="U2088" s="40" t="s">
        <v>395</v>
      </c>
      <c r="V2088" s="5"/>
      <c r="W2088" s="6" t="s">
        <v>2627</v>
      </c>
    </row>
    <row r="2089" spans="1:23" x14ac:dyDescent="0.15">
      <c r="A2089" s="2" t="s">
        <v>299</v>
      </c>
      <c r="B2089" s="2" t="s">
        <v>3939</v>
      </c>
      <c r="C2089" s="2" t="s">
        <v>1031</v>
      </c>
      <c r="D2089" s="2" t="s">
        <v>423</v>
      </c>
      <c r="E2089" s="1"/>
      <c r="F2089" s="2" t="s">
        <v>374</v>
      </c>
      <c r="G2089" s="2" t="s">
        <v>374</v>
      </c>
      <c r="H2089" s="2" t="str">
        <f t="shared" si="72"/>
        <v>C</v>
      </c>
      <c r="I2089" s="5"/>
      <c r="J2089" s="5"/>
      <c r="K2089" s="5"/>
      <c r="L2089" s="7">
        <v>1.33</v>
      </c>
      <c r="M2089" s="5" t="s">
        <v>571</v>
      </c>
      <c r="N2089" s="7">
        <v>32.299999999999997</v>
      </c>
      <c r="O2089" s="5">
        <v>20.05</v>
      </c>
      <c r="P2089" s="5">
        <v>7.95</v>
      </c>
      <c r="Q2089" s="2" t="s">
        <v>18</v>
      </c>
      <c r="R2089" s="5">
        <f>P2089*L2089</f>
        <v>10.573500000000001</v>
      </c>
      <c r="S2089" s="5"/>
      <c r="V2089" s="5"/>
      <c r="W2089" s="6" t="s">
        <v>2676</v>
      </c>
    </row>
    <row r="2090" spans="1:23" x14ac:dyDescent="0.15">
      <c r="A2090" s="2" t="s">
        <v>299</v>
      </c>
      <c r="B2090" s="2" t="s">
        <v>3939</v>
      </c>
      <c r="C2090" s="2" t="s">
        <v>1031</v>
      </c>
      <c r="D2090" s="2" t="s">
        <v>423</v>
      </c>
      <c r="E2090" s="1"/>
      <c r="F2090" s="2" t="s">
        <v>374</v>
      </c>
      <c r="G2090" s="2" t="s">
        <v>374</v>
      </c>
      <c r="H2090" s="2" t="str">
        <f t="shared" si="72"/>
        <v>C</v>
      </c>
      <c r="I2090" s="5">
        <v>10.65</v>
      </c>
      <c r="J2090" s="5">
        <v>290</v>
      </c>
      <c r="K2090" s="5"/>
      <c r="L2090" s="7">
        <v>2.5</v>
      </c>
      <c r="M2090" s="5" t="s">
        <v>571</v>
      </c>
      <c r="N2090" s="7">
        <v>29</v>
      </c>
      <c r="O2090" s="5">
        <v>22.75</v>
      </c>
      <c r="P2090" s="5">
        <v>10</v>
      </c>
      <c r="Q2090" s="2" t="s">
        <v>18</v>
      </c>
      <c r="R2090" s="5">
        <v>25</v>
      </c>
      <c r="S2090" s="5">
        <v>8.6199999999999992</v>
      </c>
      <c r="T2090" s="2">
        <v>2.5</v>
      </c>
      <c r="U2090" s="2" t="str">
        <f>IF(T2090&lt;=1, "1",IF(AND(T2090&gt;1,T2090&lt;4), "2-3", "+4"))</f>
        <v>2-3</v>
      </c>
      <c r="V2090" s="5">
        <f>S2090*T2090</f>
        <v>21.549999999999997</v>
      </c>
      <c r="W2090" s="6" t="s">
        <v>2675</v>
      </c>
    </row>
    <row r="2091" spans="1:23" x14ac:dyDescent="0.15">
      <c r="A2091" s="2" t="s">
        <v>299</v>
      </c>
      <c r="B2091" s="2" t="s">
        <v>3939</v>
      </c>
      <c r="C2091" s="2" t="s">
        <v>1031</v>
      </c>
      <c r="D2091" s="2" t="s">
        <v>536</v>
      </c>
      <c r="E2091" s="1"/>
      <c r="F2091" s="2" t="s">
        <v>304</v>
      </c>
      <c r="G2091" s="2">
        <v>-32.75</v>
      </c>
      <c r="H2091" s="2" t="str">
        <f t="shared" si="72"/>
        <v>W</v>
      </c>
      <c r="I2091" s="5">
        <v>12.2</v>
      </c>
      <c r="J2091" s="5">
        <f xml:space="preserve"> 2.572*(I2091*10) - 34.364</f>
        <v>279.42</v>
      </c>
      <c r="K2091" s="5"/>
      <c r="L2091" s="5">
        <v>3</v>
      </c>
      <c r="M2091" s="2" t="s">
        <v>571</v>
      </c>
      <c r="N2091" s="5">
        <v>36</v>
      </c>
      <c r="O2091" s="5">
        <v>26.67</v>
      </c>
      <c r="P2091" s="5">
        <v>17.337</v>
      </c>
      <c r="Q2091" s="2" t="s">
        <v>376</v>
      </c>
      <c r="R2091" s="5">
        <v>52.01</v>
      </c>
      <c r="S2091" s="5">
        <f>(R2091/J2091)*100</f>
        <v>18.613556653067064</v>
      </c>
      <c r="T2091" s="2" t="s">
        <v>524</v>
      </c>
      <c r="U2091" s="40" t="s">
        <v>395</v>
      </c>
      <c r="V2091" s="5"/>
      <c r="W2091" s="6" t="s">
        <v>2668</v>
      </c>
    </row>
    <row r="2092" spans="1:23" x14ac:dyDescent="0.15">
      <c r="A2092" s="2" t="s">
        <v>299</v>
      </c>
      <c r="B2092" s="2" t="s">
        <v>3939</v>
      </c>
      <c r="C2092" s="2" t="s">
        <v>1031</v>
      </c>
      <c r="D2092" s="2" t="s">
        <v>536</v>
      </c>
      <c r="E2092" s="1"/>
      <c r="F2092" s="2" t="s">
        <v>304</v>
      </c>
      <c r="H2092" s="2" t="s">
        <v>3887</v>
      </c>
      <c r="I2092" s="5"/>
      <c r="J2092" s="5"/>
      <c r="K2092" s="5"/>
      <c r="L2092" s="5">
        <v>2</v>
      </c>
      <c r="M2092" s="2" t="s">
        <v>571</v>
      </c>
      <c r="N2092" s="5">
        <v>30.96</v>
      </c>
      <c r="O2092" s="5">
        <v>25.4</v>
      </c>
      <c r="P2092" s="5">
        <v>11.79</v>
      </c>
      <c r="Q2092" s="2" t="s">
        <v>376</v>
      </c>
      <c r="R2092" s="5">
        <v>23.58</v>
      </c>
      <c r="S2092" s="5"/>
      <c r="V2092" s="5"/>
      <c r="W2092" s="6" t="s">
        <v>2627</v>
      </c>
    </row>
    <row r="2093" spans="1:23" x14ac:dyDescent="0.15">
      <c r="A2093" s="2" t="s">
        <v>299</v>
      </c>
      <c r="B2093" s="2" t="s">
        <v>3939</v>
      </c>
      <c r="C2093" s="2" t="s">
        <v>1031</v>
      </c>
      <c r="D2093" s="2" t="s">
        <v>536</v>
      </c>
      <c r="E2093" s="1"/>
      <c r="F2093" s="2" t="s">
        <v>304</v>
      </c>
      <c r="G2093" s="2">
        <v>-32.35</v>
      </c>
      <c r="H2093" s="2" t="str">
        <f t="shared" si="72"/>
        <v>W</v>
      </c>
      <c r="I2093" s="5"/>
      <c r="J2093" s="5"/>
      <c r="K2093" s="5"/>
      <c r="L2093" s="7">
        <v>2</v>
      </c>
      <c r="M2093" s="2" t="s">
        <v>571</v>
      </c>
      <c r="N2093" s="5">
        <v>34.4</v>
      </c>
      <c r="O2093" s="7">
        <v>27.5</v>
      </c>
      <c r="P2093" s="5">
        <v>15.64</v>
      </c>
      <c r="Q2093" s="2" t="s">
        <v>376</v>
      </c>
      <c r="R2093" s="5">
        <v>31.27</v>
      </c>
      <c r="S2093" s="5"/>
      <c r="T2093" s="9"/>
      <c r="U2093" s="9"/>
      <c r="V2093" s="5"/>
      <c r="W2093" s="6" t="s">
        <v>2669</v>
      </c>
    </row>
    <row r="2094" spans="1:23" x14ac:dyDescent="0.15">
      <c r="A2094" s="2" t="s">
        <v>299</v>
      </c>
      <c r="B2094" s="2" t="s">
        <v>3939</v>
      </c>
      <c r="C2094" s="2" t="s">
        <v>1031</v>
      </c>
      <c r="D2094" s="2" t="s">
        <v>536</v>
      </c>
      <c r="E2094" s="1"/>
      <c r="F2094" s="2" t="s">
        <v>537</v>
      </c>
      <c r="G2094" s="2" t="s">
        <v>374</v>
      </c>
      <c r="H2094" s="2" t="str">
        <f t="shared" si="72"/>
        <v>C</v>
      </c>
      <c r="I2094" s="5">
        <v>13</v>
      </c>
      <c r="J2094" s="5">
        <v>369</v>
      </c>
      <c r="K2094" s="5"/>
      <c r="L2094" s="5">
        <v>1.5</v>
      </c>
      <c r="M2094" s="2" t="s">
        <v>571</v>
      </c>
      <c r="N2094" s="5">
        <v>37.130000000000003</v>
      </c>
      <c r="O2094" s="5">
        <v>28.27</v>
      </c>
      <c r="P2094" s="5">
        <v>16.53</v>
      </c>
      <c r="Q2094" s="2" t="s">
        <v>18</v>
      </c>
      <c r="R2094" s="5">
        <v>24.795000000000002</v>
      </c>
      <c r="S2094" s="5">
        <v>6.72</v>
      </c>
      <c r="V2094" s="5"/>
      <c r="W2094" s="6" t="s">
        <v>2670</v>
      </c>
    </row>
    <row r="2095" spans="1:23" x14ac:dyDescent="0.15">
      <c r="A2095" s="2" t="s">
        <v>299</v>
      </c>
      <c r="B2095" s="2" t="s">
        <v>3939</v>
      </c>
      <c r="C2095" s="2" t="s">
        <v>1031</v>
      </c>
      <c r="D2095" s="2" t="s">
        <v>536</v>
      </c>
      <c r="E2095" s="1"/>
      <c r="F2095" s="2" t="s">
        <v>537</v>
      </c>
      <c r="G2095" s="2" t="s">
        <v>374</v>
      </c>
      <c r="H2095" s="2" t="str">
        <f t="shared" si="72"/>
        <v>C</v>
      </c>
      <c r="I2095" s="5">
        <v>13.05</v>
      </c>
      <c r="J2095" s="5">
        <f xml:space="preserve"> 2.572*(I2095*10) - 34.364</f>
        <v>301.28200000000004</v>
      </c>
      <c r="K2095" s="5"/>
      <c r="L2095" s="5">
        <v>3</v>
      </c>
      <c r="M2095" s="2" t="s">
        <v>571</v>
      </c>
      <c r="N2095" s="5"/>
      <c r="O2095" s="5">
        <v>26.6</v>
      </c>
      <c r="P2095" s="5">
        <f xml:space="preserve"> 0.3204*O2095 + 9.3425</f>
        <v>17.86514</v>
      </c>
      <c r="Q2095" s="2" t="s">
        <v>376</v>
      </c>
      <c r="R2095" s="5">
        <f>P2095*L2095</f>
        <v>53.595420000000004</v>
      </c>
      <c r="S2095" s="5">
        <f>(R2095/J2095)*100</f>
        <v>17.78912115559509</v>
      </c>
      <c r="T2095" s="2">
        <v>1</v>
      </c>
      <c r="U2095" s="2" t="str">
        <f>IF(T2095&lt;=1, "1",IF(AND(T2095&gt;1,T2095&lt;4), "2-3", "+4"))</f>
        <v>1</v>
      </c>
      <c r="V2095" s="5">
        <f>S2095*T2095</f>
        <v>17.78912115559509</v>
      </c>
      <c r="W2095" s="6" t="s">
        <v>2671</v>
      </c>
    </row>
    <row r="2096" spans="1:23" x14ac:dyDescent="0.15">
      <c r="A2096" s="2" t="s">
        <v>299</v>
      </c>
      <c r="B2096" s="2" t="s">
        <v>3939</v>
      </c>
      <c r="C2096" s="2" t="s">
        <v>1031</v>
      </c>
      <c r="D2096" s="2" t="s">
        <v>536</v>
      </c>
      <c r="E2096" s="1"/>
      <c r="F2096" s="2" t="s">
        <v>304</v>
      </c>
      <c r="G2096" s="2" t="s">
        <v>374</v>
      </c>
      <c r="H2096" s="2" t="str">
        <f t="shared" si="72"/>
        <v>C</v>
      </c>
      <c r="I2096" s="5">
        <v>13.1</v>
      </c>
      <c r="J2096" s="5">
        <v>399</v>
      </c>
      <c r="K2096" s="5"/>
      <c r="L2096" s="5">
        <v>1.9</v>
      </c>
      <c r="M2096" s="2" t="s">
        <v>571</v>
      </c>
      <c r="N2096" s="5">
        <v>40</v>
      </c>
      <c r="O2096" s="5">
        <v>27.3</v>
      </c>
      <c r="P2096" s="5">
        <v>17</v>
      </c>
      <c r="Q2096" s="2" t="s">
        <v>18</v>
      </c>
      <c r="R2096" s="5">
        <f>(P2096*L2096)</f>
        <v>32.299999999999997</v>
      </c>
      <c r="S2096" s="5">
        <f>(R2096/J2096)*100</f>
        <v>8.0952380952380949</v>
      </c>
      <c r="T2096" s="2">
        <v>1</v>
      </c>
      <c r="U2096" s="2" t="str">
        <f>IF(T2096&lt;=1, "1",IF(AND(T2096&gt;1,T2096&lt;4), "2-3", "+4"))</f>
        <v>1</v>
      </c>
      <c r="V2096" s="5">
        <f>S2096*T2096</f>
        <v>8.0952380952380949</v>
      </c>
      <c r="W2096" s="6" t="s">
        <v>2111</v>
      </c>
    </row>
    <row r="2097" spans="1:23" x14ac:dyDescent="0.15">
      <c r="A2097" s="2" t="s">
        <v>299</v>
      </c>
      <c r="B2097" s="2" t="s">
        <v>3939</v>
      </c>
      <c r="C2097" s="2" t="s">
        <v>1031</v>
      </c>
      <c r="D2097" s="2" t="s">
        <v>536</v>
      </c>
      <c r="E2097" s="1"/>
      <c r="F2097" s="2" t="s">
        <v>304</v>
      </c>
      <c r="H2097" s="2" t="s">
        <v>3887</v>
      </c>
      <c r="I2097" s="5"/>
      <c r="J2097" s="5"/>
      <c r="K2097" s="5"/>
      <c r="L2097" s="5"/>
      <c r="M2097" s="2" t="s">
        <v>571</v>
      </c>
      <c r="N2097" s="5">
        <f>MEDIAN(29,33)</f>
        <v>31</v>
      </c>
      <c r="O2097" s="5">
        <v>25</v>
      </c>
      <c r="P2097" s="5"/>
      <c r="R2097" s="5"/>
      <c r="S2097" s="5"/>
      <c r="V2097" s="5"/>
      <c r="W2097" s="6" t="s">
        <v>1954</v>
      </c>
    </row>
    <row r="2098" spans="1:23" x14ac:dyDescent="0.15">
      <c r="A2098" s="2" t="s">
        <v>299</v>
      </c>
      <c r="B2098" s="2" t="s">
        <v>3939</v>
      </c>
      <c r="C2098" s="2" t="s">
        <v>3520</v>
      </c>
      <c r="D2098" s="2" t="s">
        <v>439</v>
      </c>
      <c r="E2098" s="1"/>
      <c r="F2098" s="2" t="s">
        <v>374</v>
      </c>
      <c r="G2098" s="2" t="s">
        <v>374</v>
      </c>
      <c r="H2098" s="2" t="str">
        <f t="shared" si="72"/>
        <v>C</v>
      </c>
      <c r="I2098" s="5">
        <v>23.1</v>
      </c>
      <c r="J2098" s="5">
        <f>MEDIAN(1600,3060)</f>
        <v>2330</v>
      </c>
      <c r="K2098" s="5"/>
      <c r="L2098" s="7">
        <f>MEDIAN(1,4)</f>
        <v>2.5</v>
      </c>
      <c r="M2098" s="2" t="s">
        <v>571</v>
      </c>
      <c r="N2098" s="5">
        <f>MEDIAN(41.1,64.3)</f>
        <v>52.7</v>
      </c>
      <c r="O2098" s="5">
        <f>MEDIAN(31.8,40.9)</f>
        <v>36.35</v>
      </c>
      <c r="P2098" s="5">
        <f>MEDIAN(25,51.5)</f>
        <v>38.25</v>
      </c>
      <c r="Q2098" s="2" t="s">
        <v>18</v>
      </c>
      <c r="R2098" s="5">
        <f>P2098*L2098</f>
        <v>95.625</v>
      </c>
      <c r="S2098" s="5">
        <f>(R2098/J2098)*100</f>
        <v>4.1040772532188834</v>
      </c>
      <c r="V2098" s="5"/>
      <c r="W2098" s="6" t="s">
        <v>2575</v>
      </c>
    </row>
    <row r="2099" spans="1:23" x14ac:dyDescent="0.15">
      <c r="A2099" s="2" t="s">
        <v>299</v>
      </c>
      <c r="B2099" s="2" t="s">
        <v>3939</v>
      </c>
      <c r="C2099" s="2" t="s">
        <v>3520</v>
      </c>
      <c r="D2099" s="2" t="s">
        <v>439</v>
      </c>
      <c r="E2099" s="1"/>
      <c r="F2099" s="2" t="s">
        <v>374</v>
      </c>
      <c r="G2099" s="2" t="s">
        <v>374</v>
      </c>
      <c r="H2099" s="2" t="str">
        <f t="shared" si="72"/>
        <v>C</v>
      </c>
      <c r="I2099" s="5"/>
      <c r="J2099" s="5"/>
      <c r="K2099" s="5"/>
      <c r="L2099" s="7">
        <f>MEDIAN(1,4)</f>
        <v>2.5</v>
      </c>
      <c r="M2099" s="2" t="s">
        <v>571</v>
      </c>
      <c r="N2099" s="5">
        <v>50</v>
      </c>
      <c r="O2099" s="5">
        <v>37</v>
      </c>
      <c r="P2099" s="5">
        <v>42.8</v>
      </c>
      <c r="Q2099" s="2" t="s">
        <v>18</v>
      </c>
      <c r="R2099" s="5">
        <f>P2099*L2099</f>
        <v>107</v>
      </c>
      <c r="S2099" s="5"/>
      <c r="T2099" s="2" t="s">
        <v>122</v>
      </c>
      <c r="V2099" s="5"/>
      <c r="W2099" s="6" t="s">
        <v>3267</v>
      </c>
    </row>
    <row r="2100" spans="1:23" x14ac:dyDescent="0.15">
      <c r="A2100" s="2" t="s">
        <v>299</v>
      </c>
      <c r="B2100" s="2" t="s">
        <v>3939</v>
      </c>
      <c r="C2100" s="2" t="s">
        <v>3520</v>
      </c>
      <c r="D2100" s="2" t="s">
        <v>439</v>
      </c>
      <c r="E2100" s="1"/>
      <c r="F2100" s="2" t="s">
        <v>374</v>
      </c>
      <c r="G2100" s="2" t="s">
        <v>374</v>
      </c>
      <c r="H2100" s="2" t="str">
        <f t="shared" si="72"/>
        <v>C</v>
      </c>
      <c r="I2100" s="5"/>
      <c r="J2100" s="5"/>
      <c r="K2100" s="5"/>
      <c r="L2100" s="7">
        <v>3.5</v>
      </c>
      <c r="M2100" s="2" t="s">
        <v>571</v>
      </c>
      <c r="N2100" s="7"/>
      <c r="O2100" s="5">
        <v>50</v>
      </c>
      <c r="P2100" s="5"/>
      <c r="R2100" s="5"/>
      <c r="S2100" s="5"/>
      <c r="V2100" s="5"/>
      <c r="W2100" s="6" t="s">
        <v>2667</v>
      </c>
    </row>
    <row r="2101" spans="1:23" x14ac:dyDescent="0.15">
      <c r="A2101" s="2" t="s">
        <v>299</v>
      </c>
      <c r="B2101" s="2" t="s">
        <v>3939</v>
      </c>
      <c r="C2101" s="2" t="s">
        <v>3520</v>
      </c>
      <c r="D2101" s="2" t="s">
        <v>439</v>
      </c>
      <c r="E2101" s="1"/>
      <c r="F2101" s="2" t="s">
        <v>374</v>
      </c>
      <c r="G2101" s="2" t="s">
        <v>374</v>
      </c>
      <c r="H2101" s="2" t="str">
        <f t="shared" si="72"/>
        <v>C</v>
      </c>
      <c r="I2101" s="5"/>
      <c r="J2101" s="5"/>
      <c r="K2101" s="5"/>
      <c r="L2101" s="5"/>
      <c r="M2101" s="2" t="s">
        <v>571</v>
      </c>
      <c r="N2101" s="5">
        <v>45</v>
      </c>
      <c r="O2101" s="5">
        <v>36</v>
      </c>
      <c r="P2101" s="5"/>
      <c r="R2101" s="5"/>
      <c r="S2101" s="5"/>
      <c r="V2101" s="5"/>
      <c r="W2101" s="6" t="s">
        <v>2540</v>
      </c>
    </row>
    <row r="2102" spans="1:23" x14ac:dyDescent="0.15">
      <c r="A2102" s="2" t="s">
        <v>299</v>
      </c>
      <c r="B2102" s="2" t="s">
        <v>3939</v>
      </c>
      <c r="C2102" s="2" t="s">
        <v>3520</v>
      </c>
      <c r="D2102" s="2" t="s">
        <v>439</v>
      </c>
      <c r="E2102" s="1"/>
      <c r="F2102" s="2" t="s">
        <v>374</v>
      </c>
      <c r="G2102" s="2" t="s">
        <v>374</v>
      </c>
      <c r="H2102" s="2" t="str">
        <f t="shared" si="72"/>
        <v>C</v>
      </c>
      <c r="I2102" s="5">
        <v>23.4</v>
      </c>
      <c r="J2102" s="5">
        <v>1850</v>
      </c>
      <c r="K2102" s="5"/>
      <c r="L2102" s="5">
        <v>2</v>
      </c>
      <c r="M2102" s="2" t="s">
        <v>571</v>
      </c>
      <c r="N2102" s="5">
        <v>54</v>
      </c>
      <c r="O2102" s="5">
        <v>38.25</v>
      </c>
      <c r="P2102" s="5">
        <f xml:space="preserve"> 0.754*N2102 + 0.88*O2102 - 29.002</f>
        <v>45.374000000000009</v>
      </c>
      <c r="Q2102" s="2" t="s">
        <v>376</v>
      </c>
      <c r="R2102" s="5">
        <v>108.78</v>
      </c>
      <c r="S2102" s="5">
        <v>5.88</v>
      </c>
      <c r="V2102" s="5"/>
      <c r="W2102" s="6" t="s">
        <v>3358</v>
      </c>
    </row>
    <row r="2103" spans="1:23" x14ac:dyDescent="0.15">
      <c r="A2103" s="2" t="s">
        <v>299</v>
      </c>
      <c r="B2103" s="2" t="s">
        <v>3939</v>
      </c>
      <c r="C2103" s="2" t="s">
        <v>3520</v>
      </c>
      <c r="D2103" s="2" t="s">
        <v>439</v>
      </c>
      <c r="E2103" s="1"/>
      <c r="F2103" s="2" t="s">
        <v>374</v>
      </c>
      <c r="G2103" s="2" t="s">
        <v>374</v>
      </c>
      <c r="H2103" s="2" t="str">
        <f t="shared" si="72"/>
        <v>C</v>
      </c>
      <c r="I2103" s="5"/>
      <c r="J2103" s="5"/>
      <c r="K2103" s="5"/>
      <c r="L2103" s="5">
        <f>MEDIAN(5,9)</f>
        <v>7</v>
      </c>
      <c r="M2103" s="2" t="s">
        <v>571</v>
      </c>
      <c r="N2103" s="5"/>
      <c r="O2103" s="5"/>
      <c r="P2103" s="5"/>
      <c r="R2103" s="5"/>
      <c r="S2103" s="5"/>
      <c r="T2103" s="2" t="s">
        <v>382</v>
      </c>
      <c r="U2103" s="40" t="s">
        <v>395</v>
      </c>
      <c r="V2103" s="5"/>
      <c r="W2103" s="6" t="s">
        <v>2159</v>
      </c>
    </row>
    <row r="2104" spans="1:23" x14ac:dyDescent="0.15">
      <c r="A2104" s="2" t="s">
        <v>299</v>
      </c>
      <c r="B2104" s="2" t="s">
        <v>3939</v>
      </c>
      <c r="C2104" s="2" t="s">
        <v>3520</v>
      </c>
      <c r="D2104" s="2" t="s">
        <v>439</v>
      </c>
      <c r="E2104" s="1"/>
      <c r="F2104" s="2" t="s">
        <v>374</v>
      </c>
      <c r="G2104" s="2" t="s">
        <v>374</v>
      </c>
      <c r="H2104" s="2" t="str">
        <f t="shared" si="72"/>
        <v>C</v>
      </c>
      <c r="I2104" s="5"/>
      <c r="J2104" s="5"/>
      <c r="K2104" s="5">
        <v>7</v>
      </c>
      <c r="L2104" s="5"/>
      <c r="M2104" s="2" t="s">
        <v>571</v>
      </c>
      <c r="N2104" s="5"/>
      <c r="O2104" s="5"/>
      <c r="P2104" s="5"/>
      <c r="R2104" s="5"/>
      <c r="S2104" s="5"/>
      <c r="U2104" s="40"/>
      <c r="V2104" s="5"/>
      <c r="W2104" s="6" t="s">
        <v>4096</v>
      </c>
    </row>
    <row r="2105" spans="1:23" x14ac:dyDescent="0.15">
      <c r="A2105" s="2" t="s">
        <v>299</v>
      </c>
      <c r="B2105" s="2" t="s">
        <v>3939</v>
      </c>
      <c r="C2105" s="2" t="s">
        <v>3520</v>
      </c>
      <c r="D2105" s="2" t="s">
        <v>439</v>
      </c>
      <c r="E2105" s="1"/>
      <c r="F2105" s="2" t="s">
        <v>371</v>
      </c>
      <c r="H2105" s="2" t="s">
        <v>3887</v>
      </c>
      <c r="I2105" s="5"/>
      <c r="J2105" s="5"/>
      <c r="K2105" s="5"/>
      <c r="L2105" s="7">
        <f>MEDIAN(1,5)</f>
        <v>3</v>
      </c>
      <c r="M2105" s="2" t="s">
        <v>571</v>
      </c>
      <c r="N2105" s="7">
        <v>50</v>
      </c>
      <c r="O2105" s="5">
        <v>40</v>
      </c>
      <c r="P2105" s="5">
        <f xml:space="preserve"> 0.754*N2105 + 0.88*O2105 - 29.002</f>
        <v>43.89800000000001</v>
      </c>
      <c r="Q2105" s="2" t="s">
        <v>376</v>
      </c>
      <c r="R2105" s="5">
        <f>P2105*L2105</f>
        <v>131.69400000000002</v>
      </c>
      <c r="S2105" s="5"/>
      <c r="T2105" s="2" t="s">
        <v>122</v>
      </c>
      <c r="V2105" s="5"/>
      <c r="W2105" s="6" t="s">
        <v>2426</v>
      </c>
    </row>
    <row r="2106" spans="1:23" x14ac:dyDescent="0.15">
      <c r="A2106" s="2" t="s">
        <v>299</v>
      </c>
      <c r="B2106" s="2" t="s">
        <v>3939</v>
      </c>
      <c r="C2106" s="2" t="s">
        <v>3520</v>
      </c>
      <c r="D2106" s="2" t="s">
        <v>439</v>
      </c>
      <c r="E2106" s="1"/>
      <c r="F2106" s="2" t="s">
        <v>374</v>
      </c>
      <c r="G2106" s="2" t="s">
        <v>374</v>
      </c>
      <c r="H2106" s="2" t="str">
        <f t="shared" si="72"/>
        <v>C</v>
      </c>
      <c r="I2106" s="5">
        <v>23.959</v>
      </c>
      <c r="J2106" s="5">
        <v>2014</v>
      </c>
      <c r="K2106" s="5"/>
      <c r="L2106" s="5">
        <v>3</v>
      </c>
      <c r="M2106" s="2" t="s">
        <v>571</v>
      </c>
      <c r="N2106" s="5"/>
      <c r="O2106" s="5"/>
      <c r="P2106" s="5"/>
      <c r="R2106" s="5"/>
      <c r="S2106" s="5"/>
      <c r="T2106" s="2">
        <v>2</v>
      </c>
      <c r="U2106" s="2" t="str">
        <f>IF(T2106&lt;=1, "1",IF(AND(T2106&gt;1,T2106&lt;4), "2-3", "+4"))</f>
        <v>2-3</v>
      </c>
      <c r="V2106" s="5"/>
      <c r="W2106" s="6" t="s">
        <v>2664</v>
      </c>
    </row>
    <row r="2107" spans="1:23" ht="12.75" customHeight="1" x14ac:dyDescent="0.15">
      <c r="A2107" s="2" t="s">
        <v>299</v>
      </c>
      <c r="B2107" s="2" t="s">
        <v>3939</v>
      </c>
      <c r="C2107" s="2" t="s">
        <v>3520</v>
      </c>
      <c r="D2107" s="2" t="s">
        <v>439</v>
      </c>
      <c r="E2107" s="1"/>
      <c r="F2107" s="2" t="s">
        <v>374</v>
      </c>
      <c r="G2107" s="2" t="s">
        <v>374</v>
      </c>
      <c r="H2107" s="2" t="str">
        <f t="shared" si="72"/>
        <v>C</v>
      </c>
      <c r="I2107" s="5"/>
      <c r="J2107" s="5"/>
      <c r="K2107" s="5"/>
      <c r="L2107" s="7">
        <f>MEDIAN(2,4)</f>
        <v>3</v>
      </c>
      <c r="M2107" s="2" t="s">
        <v>571</v>
      </c>
      <c r="N2107" s="7">
        <v>50</v>
      </c>
      <c r="O2107" s="5">
        <v>40</v>
      </c>
      <c r="P2107" s="5">
        <v>44</v>
      </c>
      <c r="Q2107" s="2" t="s">
        <v>18</v>
      </c>
      <c r="R2107" s="5">
        <f>P2107*3</f>
        <v>132</v>
      </c>
      <c r="S2107" s="5"/>
      <c r="T2107" s="2">
        <v>3</v>
      </c>
      <c r="U2107" s="2" t="str">
        <f>IF(T2107&lt;=1, "1",IF(AND(T2107&gt;1,T2107&lt;4), "2-3", "+4"))</f>
        <v>2-3</v>
      </c>
      <c r="V2107" s="5"/>
      <c r="W2107" s="6" t="s">
        <v>2666</v>
      </c>
    </row>
    <row r="2108" spans="1:23" ht="12.75" customHeight="1" x14ac:dyDescent="0.15">
      <c r="A2108" s="2" t="s">
        <v>299</v>
      </c>
      <c r="B2108" s="2" t="s">
        <v>3939</v>
      </c>
      <c r="C2108" s="2" t="s">
        <v>3520</v>
      </c>
      <c r="D2108" s="2" t="s">
        <v>439</v>
      </c>
      <c r="E2108" s="1"/>
      <c r="F2108" s="2" t="s">
        <v>374</v>
      </c>
      <c r="G2108" s="2" t="s">
        <v>374</v>
      </c>
      <c r="H2108" s="2" t="str">
        <f t="shared" si="72"/>
        <v>C</v>
      </c>
      <c r="I2108" s="5">
        <v>22.95</v>
      </c>
      <c r="J2108" s="5">
        <v>2925</v>
      </c>
      <c r="K2108" s="5"/>
      <c r="L2108" s="5"/>
      <c r="M2108" s="2" t="s">
        <v>571</v>
      </c>
      <c r="N2108" s="5"/>
      <c r="O2108" s="5"/>
      <c r="P2108" s="5"/>
      <c r="R2108" s="5"/>
      <c r="S2108" s="5"/>
      <c r="T2108" s="2" t="s">
        <v>122</v>
      </c>
      <c r="V2108" s="5"/>
      <c r="W2108" s="6" t="s">
        <v>2665</v>
      </c>
    </row>
    <row r="2109" spans="1:23" x14ac:dyDescent="0.15">
      <c r="A2109" s="2" t="s">
        <v>299</v>
      </c>
      <c r="B2109" s="2" t="s">
        <v>3939</v>
      </c>
      <c r="C2109" s="2" t="s">
        <v>3520</v>
      </c>
      <c r="D2109" s="2" t="s">
        <v>439</v>
      </c>
      <c r="E2109" s="1"/>
      <c r="F2109" s="2" t="s">
        <v>868</v>
      </c>
      <c r="G2109" s="2">
        <v>17.879899999999999</v>
      </c>
      <c r="H2109" s="2" t="str">
        <f t="shared" si="72"/>
        <v>W</v>
      </c>
      <c r="I2109" s="5">
        <v>27.5</v>
      </c>
      <c r="J2109" s="5">
        <v>2928.49</v>
      </c>
      <c r="K2109" s="5">
        <v>8</v>
      </c>
      <c r="L2109" s="7">
        <v>4.5</v>
      </c>
      <c r="M2109" s="2" t="s">
        <v>571</v>
      </c>
      <c r="N2109" s="5">
        <v>47.2</v>
      </c>
      <c r="O2109" s="5">
        <v>39</v>
      </c>
      <c r="P2109" s="5">
        <v>43.2</v>
      </c>
      <c r="Q2109" s="2" t="s">
        <v>18</v>
      </c>
      <c r="R2109" s="5">
        <v>194.4</v>
      </c>
      <c r="S2109" s="5">
        <v>5.1020000000000003</v>
      </c>
      <c r="V2109" s="5"/>
      <c r="W2109" s="6" t="s">
        <v>4097</v>
      </c>
    </row>
    <row r="2110" spans="1:23" x14ac:dyDescent="0.15">
      <c r="A2110" s="2" t="s">
        <v>299</v>
      </c>
      <c r="B2110" s="2" t="s">
        <v>3939</v>
      </c>
      <c r="C2110" s="2" t="s">
        <v>3520</v>
      </c>
      <c r="D2110" s="2" t="s">
        <v>439</v>
      </c>
      <c r="E2110" s="1"/>
      <c r="F2110" s="2" t="s">
        <v>868</v>
      </c>
      <c r="G2110" s="2">
        <v>9.1</v>
      </c>
      <c r="H2110" s="2" t="str">
        <f t="shared" si="72"/>
        <v>W</v>
      </c>
      <c r="I2110" s="5"/>
      <c r="J2110" s="5"/>
      <c r="K2110" s="5">
        <v>8</v>
      </c>
      <c r="L2110" s="7">
        <v>4.5</v>
      </c>
      <c r="M2110" s="2" t="s">
        <v>571</v>
      </c>
      <c r="N2110" s="5">
        <v>47.2</v>
      </c>
      <c r="O2110" s="5">
        <v>39</v>
      </c>
      <c r="P2110" s="5">
        <v>43.2</v>
      </c>
      <c r="Q2110" s="2" t="s">
        <v>18</v>
      </c>
      <c r="R2110" s="5">
        <v>194.4</v>
      </c>
      <c r="S2110" s="5">
        <v>5.1020000000000003</v>
      </c>
      <c r="T2110" s="40" t="s">
        <v>431</v>
      </c>
      <c r="U2110" s="40" t="s">
        <v>431</v>
      </c>
      <c r="V2110" s="5"/>
      <c r="W2110" s="6" t="s">
        <v>4097</v>
      </c>
    </row>
    <row r="2111" spans="1:23" ht="12.75" customHeight="1" x14ac:dyDescent="0.15">
      <c r="A2111" s="2" t="s">
        <v>299</v>
      </c>
      <c r="B2111" s="2" t="s">
        <v>3939</v>
      </c>
      <c r="C2111" s="2" t="s">
        <v>3520</v>
      </c>
      <c r="D2111" s="2" t="s">
        <v>439</v>
      </c>
      <c r="E2111" s="1"/>
      <c r="F2111" s="2" t="s">
        <v>204</v>
      </c>
      <c r="H2111" s="2" t="s">
        <v>3887</v>
      </c>
      <c r="I2111" s="5"/>
      <c r="J2111" s="5"/>
      <c r="K2111" s="5"/>
      <c r="L2111" s="7">
        <f>MEDIAN(2,4)</f>
        <v>3</v>
      </c>
      <c r="M2111" s="2" t="s">
        <v>571</v>
      </c>
      <c r="N2111" s="5"/>
      <c r="O2111" s="5"/>
      <c r="P2111" s="5"/>
      <c r="R2111" s="5"/>
      <c r="S2111" s="5"/>
      <c r="V2111" s="5"/>
      <c r="W2111" s="6" t="s">
        <v>3259</v>
      </c>
    </row>
    <row r="2112" spans="1:23" x14ac:dyDescent="0.15">
      <c r="A2112" s="2" t="s">
        <v>299</v>
      </c>
      <c r="B2112" s="2" t="s">
        <v>3939</v>
      </c>
      <c r="C2112" s="2" t="s">
        <v>3520</v>
      </c>
      <c r="D2112" s="2" t="s">
        <v>439</v>
      </c>
      <c r="E2112" s="1"/>
      <c r="F2112" s="2" t="s">
        <v>374</v>
      </c>
      <c r="G2112" s="2" t="s">
        <v>374</v>
      </c>
      <c r="H2112" s="2" t="str">
        <f t="shared" si="72"/>
        <v>C</v>
      </c>
      <c r="I2112" s="5"/>
      <c r="J2112" s="5"/>
      <c r="K2112" s="5"/>
      <c r="L2112" s="7">
        <f>MEDIAN(3,7)</f>
        <v>5</v>
      </c>
      <c r="M2112" s="2" t="s">
        <v>571</v>
      </c>
      <c r="N2112" s="5">
        <v>51</v>
      </c>
      <c r="O2112" s="5">
        <v>37.5</v>
      </c>
      <c r="P2112" s="5">
        <v>42.45</v>
      </c>
      <c r="Q2112" s="2" t="s">
        <v>376</v>
      </c>
      <c r="R2112" s="5">
        <f>P2112*L2112</f>
        <v>212.25</v>
      </c>
      <c r="S2112" s="5"/>
      <c r="T2112" s="2">
        <v>2</v>
      </c>
      <c r="U2112" s="2" t="str">
        <f>IF(T2112&lt;=1, "1",IF(AND(T2112&gt;1,T2112&lt;4), "2-3", "+4"))</f>
        <v>2-3</v>
      </c>
      <c r="V2112" s="5"/>
      <c r="W2112" s="6" t="s">
        <v>3269</v>
      </c>
    </row>
    <row r="2113" spans="1:23" ht="12.75" customHeight="1" x14ac:dyDescent="0.15">
      <c r="A2113" s="2" t="s">
        <v>299</v>
      </c>
      <c r="B2113" s="2" t="s">
        <v>3939</v>
      </c>
      <c r="C2113" s="2" t="s">
        <v>3520</v>
      </c>
      <c r="D2113" s="2" t="s">
        <v>377</v>
      </c>
      <c r="E2113" s="1"/>
      <c r="F2113" s="2" t="s">
        <v>374</v>
      </c>
      <c r="G2113" s="2" t="s">
        <v>374</v>
      </c>
      <c r="H2113" s="2" t="str">
        <f t="shared" ref="H2113:H2178" si="73">IF(G2113="captive","C","W")</f>
        <v>C</v>
      </c>
      <c r="I2113" s="5"/>
      <c r="J2113" s="5"/>
      <c r="K2113" s="5"/>
      <c r="L2113" s="5">
        <v>3</v>
      </c>
      <c r="M2113" s="2" t="s">
        <v>571</v>
      </c>
      <c r="N2113" s="5">
        <f>MEDIAN(45,50)</f>
        <v>47.5</v>
      </c>
      <c r="O2113" s="5">
        <f>MEDIAN(38,41)</f>
        <v>39.5</v>
      </c>
      <c r="P2113" s="5">
        <v>25</v>
      </c>
      <c r="Q2113" s="2" t="s">
        <v>18</v>
      </c>
      <c r="R2113" s="5">
        <v>75</v>
      </c>
      <c r="S2113" s="5"/>
      <c r="V2113" s="5"/>
      <c r="W2113" s="6" t="s">
        <v>2159</v>
      </c>
    </row>
    <row r="2114" spans="1:23" x14ac:dyDescent="0.15">
      <c r="A2114" s="2" t="s">
        <v>299</v>
      </c>
      <c r="B2114" s="2" t="s">
        <v>3939</v>
      </c>
      <c r="C2114" s="2" t="s">
        <v>3520</v>
      </c>
      <c r="D2114" s="2" t="s">
        <v>377</v>
      </c>
      <c r="E2114" s="1"/>
      <c r="F2114" s="2" t="s">
        <v>374</v>
      </c>
      <c r="G2114" s="2" t="s">
        <v>374</v>
      </c>
      <c r="H2114" s="2" t="str">
        <f t="shared" si="73"/>
        <v>C</v>
      </c>
      <c r="I2114" s="5">
        <v>20.100000000000001</v>
      </c>
      <c r="J2114" s="5">
        <v>1197</v>
      </c>
      <c r="K2114" s="5"/>
      <c r="L2114" s="5">
        <v>1.3</v>
      </c>
      <c r="M2114" s="2" t="s">
        <v>571</v>
      </c>
      <c r="N2114" s="5"/>
      <c r="O2114" s="5">
        <v>35.64</v>
      </c>
      <c r="P2114" s="5">
        <v>34.85</v>
      </c>
      <c r="Q2114" s="2" t="s">
        <v>18</v>
      </c>
      <c r="R2114" s="5">
        <v>50.33</v>
      </c>
      <c r="S2114" s="5">
        <v>4.2050000000000001</v>
      </c>
      <c r="T2114" s="2" t="s">
        <v>372</v>
      </c>
      <c r="U2114" s="40" t="s">
        <v>395</v>
      </c>
      <c r="V2114" s="5"/>
      <c r="W2114" s="6" t="s">
        <v>3134</v>
      </c>
    </row>
    <row r="2115" spans="1:23" ht="12.75" customHeight="1" x14ac:dyDescent="0.15">
      <c r="A2115" s="2" t="s">
        <v>299</v>
      </c>
      <c r="B2115" s="2" t="s">
        <v>3939</v>
      </c>
      <c r="C2115" s="2" t="s">
        <v>3520</v>
      </c>
      <c r="D2115" s="2" t="s">
        <v>377</v>
      </c>
      <c r="E2115" s="1"/>
      <c r="F2115" s="2" t="s">
        <v>459</v>
      </c>
      <c r="G2115" s="2" t="s">
        <v>374</v>
      </c>
      <c r="H2115" s="2" t="str">
        <f t="shared" si="73"/>
        <v>C</v>
      </c>
      <c r="I2115" s="5"/>
      <c r="J2115" s="5"/>
      <c r="K2115" s="5"/>
      <c r="L2115" s="5">
        <v>1.103</v>
      </c>
      <c r="M2115" s="2" t="s">
        <v>571</v>
      </c>
      <c r="N2115" s="5">
        <v>56.24</v>
      </c>
      <c r="O2115" s="5">
        <v>37.71</v>
      </c>
      <c r="P2115" s="5">
        <v>46.37</v>
      </c>
      <c r="Q2115" s="2" t="s">
        <v>18</v>
      </c>
      <c r="R2115" s="5">
        <v>51.15</v>
      </c>
      <c r="S2115" s="5"/>
      <c r="T2115" s="2">
        <v>5</v>
      </c>
      <c r="U2115" s="2" t="str">
        <f>IF(T2115&lt;=1, "1",IF(AND(T2115&gt;1,T2115&lt;4), "2-3", "+4"))</f>
        <v>+4</v>
      </c>
      <c r="V2115" s="5"/>
      <c r="W2115" s="6" t="s">
        <v>3345</v>
      </c>
    </row>
    <row r="2116" spans="1:23" x14ac:dyDescent="0.15">
      <c r="A2116" s="2" t="s">
        <v>299</v>
      </c>
      <c r="B2116" s="2" t="s">
        <v>3939</v>
      </c>
      <c r="C2116" s="2" t="s">
        <v>3520</v>
      </c>
      <c r="D2116" s="2" t="s">
        <v>377</v>
      </c>
      <c r="E2116" s="1"/>
      <c r="F2116" s="2" t="s">
        <v>374</v>
      </c>
      <c r="G2116" s="2" t="s">
        <v>374</v>
      </c>
      <c r="H2116" s="2" t="str">
        <f t="shared" si="73"/>
        <v>C</v>
      </c>
      <c r="I2116" s="5">
        <v>21</v>
      </c>
      <c r="J2116" s="5">
        <v>1360</v>
      </c>
      <c r="K2116" s="5"/>
      <c r="L2116" s="7">
        <v>2</v>
      </c>
      <c r="M2116" s="2" t="s">
        <v>571</v>
      </c>
      <c r="N2116" s="7">
        <v>54</v>
      </c>
      <c r="O2116" s="5">
        <v>37.5</v>
      </c>
      <c r="P2116" s="5">
        <v>45</v>
      </c>
      <c r="Q2116" s="2" t="s">
        <v>18</v>
      </c>
      <c r="R2116" s="5">
        <v>90</v>
      </c>
      <c r="S2116" s="5">
        <v>6.62</v>
      </c>
      <c r="T2116" s="2" t="s">
        <v>637</v>
      </c>
      <c r="V2116" s="5"/>
      <c r="W2116" s="6" t="s">
        <v>2663</v>
      </c>
    </row>
    <row r="2117" spans="1:23" ht="12.75" customHeight="1" x14ac:dyDescent="0.15">
      <c r="A2117" s="2" t="s">
        <v>299</v>
      </c>
      <c r="B2117" s="2" t="s">
        <v>3939</v>
      </c>
      <c r="C2117" s="2" t="s">
        <v>3520</v>
      </c>
      <c r="D2117" s="2" t="s">
        <v>458</v>
      </c>
      <c r="E2117" s="1"/>
      <c r="F2117" s="2" t="s">
        <v>593</v>
      </c>
      <c r="G2117" s="2">
        <v>11</v>
      </c>
      <c r="H2117" s="2" t="str">
        <f t="shared" si="73"/>
        <v>W</v>
      </c>
      <c r="I2117" s="5">
        <v>13.89</v>
      </c>
      <c r="J2117" s="5">
        <v>1680</v>
      </c>
      <c r="K2117" s="5"/>
      <c r="L2117" s="5">
        <v>3</v>
      </c>
      <c r="M2117" s="2" t="s">
        <v>571</v>
      </c>
      <c r="N2117" s="5">
        <v>42.32</v>
      </c>
      <c r="O2117" s="5">
        <v>31.6</v>
      </c>
      <c r="P2117" s="5">
        <f xml:space="preserve"> 1.435*N2117 + 1.607*O2117 - 84.568</f>
        <v>26.942400000000006</v>
      </c>
      <c r="Q2117" s="2" t="s">
        <v>18</v>
      </c>
      <c r="R2117" s="5">
        <f>P2117*L2117</f>
        <v>80.827200000000019</v>
      </c>
      <c r="S2117" s="5">
        <f>(R2117/J2117)*100</f>
        <v>4.8111428571428583</v>
      </c>
      <c r="V2117" s="5"/>
      <c r="W2117" s="6" t="s">
        <v>2007</v>
      </c>
    </row>
    <row r="2118" spans="1:23" ht="12.75" customHeight="1" x14ac:dyDescent="0.15">
      <c r="A2118" s="2" t="s">
        <v>299</v>
      </c>
      <c r="B2118" s="2" t="s">
        <v>3939</v>
      </c>
      <c r="C2118" s="2" t="s">
        <v>3520</v>
      </c>
      <c r="D2118" s="2" t="s">
        <v>458</v>
      </c>
      <c r="E2118" s="1"/>
      <c r="F2118" s="2" t="s">
        <v>593</v>
      </c>
      <c r="G2118" s="2" t="s">
        <v>374</v>
      </c>
      <c r="H2118" s="2" t="str">
        <f t="shared" si="73"/>
        <v>C</v>
      </c>
      <c r="I2118" s="5"/>
      <c r="J2118" s="5"/>
      <c r="K2118" s="5"/>
      <c r="L2118" s="5">
        <v>3</v>
      </c>
      <c r="M2118" s="2" t="s">
        <v>571</v>
      </c>
      <c r="N2118" s="5">
        <v>47</v>
      </c>
      <c r="O2118" s="5">
        <v>38</v>
      </c>
      <c r="P2118" s="5">
        <v>41</v>
      </c>
      <c r="Q2118" s="2" t="s">
        <v>18</v>
      </c>
      <c r="R2118" s="5">
        <v>123</v>
      </c>
      <c r="S2118" s="5"/>
      <c r="V2118" s="5"/>
      <c r="W2118" s="6" t="s">
        <v>2885</v>
      </c>
    </row>
    <row r="2119" spans="1:23" ht="12.75" customHeight="1" x14ac:dyDescent="0.15">
      <c r="A2119" s="2" t="s">
        <v>299</v>
      </c>
      <c r="B2119" s="2" t="s">
        <v>3939</v>
      </c>
      <c r="C2119" s="2" t="s">
        <v>3520</v>
      </c>
      <c r="D2119" s="2" t="s">
        <v>458</v>
      </c>
      <c r="E2119" s="1"/>
      <c r="F2119" s="2" t="s">
        <v>374</v>
      </c>
      <c r="G2119" s="2" t="s">
        <v>374</v>
      </c>
      <c r="H2119" s="2" t="str">
        <f t="shared" si="73"/>
        <v>C</v>
      </c>
      <c r="I2119" s="5">
        <v>24.3</v>
      </c>
      <c r="J2119" s="5">
        <v>2900</v>
      </c>
      <c r="K2119" s="5"/>
      <c r="L2119" s="5">
        <v>1.55</v>
      </c>
      <c r="M2119" s="2" t="s">
        <v>571</v>
      </c>
      <c r="N2119" s="5">
        <v>58</v>
      </c>
      <c r="O2119" s="5">
        <v>42</v>
      </c>
      <c r="P2119" s="5">
        <v>65</v>
      </c>
      <c r="Q2119" s="2" t="s">
        <v>18</v>
      </c>
      <c r="R2119" s="5">
        <v>100.75</v>
      </c>
      <c r="S2119" s="5">
        <v>3.47</v>
      </c>
      <c r="T2119" s="2" t="s">
        <v>861</v>
      </c>
      <c r="V2119" s="5"/>
      <c r="W2119" s="6" t="s">
        <v>2658</v>
      </c>
    </row>
    <row r="2120" spans="1:23" ht="12.75" customHeight="1" x14ac:dyDescent="0.15">
      <c r="A2120" s="2" t="s">
        <v>299</v>
      </c>
      <c r="B2120" s="2" t="s">
        <v>3939</v>
      </c>
      <c r="C2120" s="2" t="s">
        <v>3520</v>
      </c>
      <c r="D2120" s="2" t="s">
        <v>458</v>
      </c>
      <c r="E2120" s="1"/>
      <c r="F2120" s="2" t="s">
        <v>374</v>
      </c>
      <c r="G2120" s="2" t="s">
        <v>374</v>
      </c>
      <c r="H2120" s="2" t="str">
        <f t="shared" si="73"/>
        <v>C</v>
      </c>
      <c r="I2120" s="5">
        <v>26.8</v>
      </c>
      <c r="J2120" s="5">
        <v>2900</v>
      </c>
      <c r="K2120" s="5"/>
      <c r="L2120" s="5">
        <v>1.55</v>
      </c>
      <c r="M2120" s="2" t="s">
        <v>571</v>
      </c>
      <c r="N2120" s="5">
        <v>58</v>
      </c>
      <c r="O2120" s="5">
        <v>42</v>
      </c>
      <c r="P2120" s="5">
        <v>65</v>
      </c>
      <c r="Q2120" s="2" t="s">
        <v>18</v>
      </c>
      <c r="R2120" s="5">
        <v>100.75</v>
      </c>
      <c r="S2120" s="5">
        <v>3.47</v>
      </c>
      <c r="V2120" s="5"/>
      <c r="W2120" s="6" t="s">
        <v>3249</v>
      </c>
    </row>
    <row r="2121" spans="1:23" ht="12.75" customHeight="1" x14ac:dyDescent="0.15">
      <c r="A2121" s="2" t="s">
        <v>299</v>
      </c>
      <c r="B2121" s="2" t="s">
        <v>3939</v>
      </c>
      <c r="C2121" s="2" t="s">
        <v>3520</v>
      </c>
      <c r="D2121" s="2" t="s">
        <v>458</v>
      </c>
      <c r="E2121" s="1"/>
      <c r="F2121" s="2" t="s">
        <v>440</v>
      </c>
      <c r="G2121" s="2">
        <v>11</v>
      </c>
      <c r="H2121" s="2" t="str">
        <f t="shared" si="73"/>
        <v>W</v>
      </c>
      <c r="I2121" s="5"/>
      <c r="J2121" s="5"/>
      <c r="K2121" s="5"/>
      <c r="L2121" s="7">
        <v>2</v>
      </c>
      <c r="M2121" s="2" t="s">
        <v>571</v>
      </c>
      <c r="N2121" s="7">
        <v>58</v>
      </c>
      <c r="O2121" s="5">
        <v>43</v>
      </c>
      <c r="P2121" s="5">
        <f xml:space="preserve"> 1.435*N2121 + 1.607*O2121 - 84.568</f>
        <v>67.763000000000019</v>
      </c>
      <c r="Q2121" s="2" t="s">
        <v>376</v>
      </c>
      <c r="R2121" s="5">
        <f>P2121*L2121</f>
        <v>135.52600000000004</v>
      </c>
      <c r="S2121" s="5"/>
      <c r="V2121" s="5"/>
      <c r="W2121" s="6" t="s">
        <v>2426</v>
      </c>
    </row>
    <row r="2122" spans="1:23" ht="12.75" customHeight="1" x14ac:dyDescent="0.15">
      <c r="A2122" s="2" t="s">
        <v>299</v>
      </c>
      <c r="B2122" s="2" t="s">
        <v>3939</v>
      </c>
      <c r="C2122" s="2" t="s">
        <v>3520</v>
      </c>
      <c r="D2122" s="2" t="s">
        <v>458</v>
      </c>
      <c r="E2122" s="1"/>
      <c r="F2122" s="2" t="s">
        <v>593</v>
      </c>
      <c r="G2122" s="2">
        <v>10.44</v>
      </c>
      <c r="H2122" s="2" t="str">
        <f t="shared" si="73"/>
        <v>W</v>
      </c>
      <c r="I2122" s="5">
        <v>23.74</v>
      </c>
      <c r="J2122" s="5">
        <v>1900</v>
      </c>
      <c r="K2122" s="5"/>
      <c r="L2122" s="5"/>
      <c r="M2122" s="2" t="s">
        <v>571</v>
      </c>
      <c r="N2122" s="5"/>
      <c r="O2122" s="5"/>
      <c r="P2122" s="5"/>
      <c r="R2122" s="5"/>
      <c r="S2122" s="5"/>
      <c r="V2122" s="5"/>
      <c r="W2122" s="6" t="s">
        <v>2659</v>
      </c>
    </row>
    <row r="2123" spans="1:23" ht="12.75" customHeight="1" x14ac:dyDescent="0.15">
      <c r="A2123" s="2" t="s">
        <v>299</v>
      </c>
      <c r="B2123" s="2" t="s">
        <v>3939</v>
      </c>
      <c r="C2123" s="2" t="s">
        <v>3520</v>
      </c>
      <c r="D2123" s="2" t="s">
        <v>458</v>
      </c>
      <c r="E2123" s="1"/>
      <c r="F2123" s="2" t="s">
        <v>374</v>
      </c>
      <c r="G2123" s="2" t="s">
        <v>374</v>
      </c>
      <c r="H2123" s="2" t="str">
        <f t="shared" si="73"/>
        <v>C</v>
      </c>
      <c r="I2123" s="5"/>
      <c r="J2123" s="5"/>
      <c r="K2123" s="5"/>
      <c r="L2123" s="5">
        <v>3</v>
      </c>
      <c r="M2123" s="2" t="s">
        <v>571</v>
      </c>
      <c r="N2123" s="5"/>
      <c r="O2123" s="5"/>
      <c r="P2123" s="5">
        <v>46.83</v>
      </c>
      <c r="Q2123" s="2" t="s">
        <v>18</v>
      </c>
      <c r="R2123" s="5">
        <f>P2123*L2123</f>
        <v>140.49</v>
      </c>
      <c r="S2123" s="5"/>
      <c r="V2123" s="5"/>
      <c r="W2123" s="6" t="s">
        <v>2657</v>
      </c>
    </row>
    <row r="2124" spans="1:23" ht="12.75" customHeight="1" x14ac:dyDescent="0.15">
      <c r="A2124" s="1" t="s">
        <v>299</v>
      </c>
      <c r="B2124" s="2" t="s">
        <v>3939</v>
      </c>
      <c r="C2124" s="1" t="s">
        <v>3520</v>
      </c>
      <c r="D2124" s="1" t="s">
        <v>458</v>
      </c>
      <c r="E2124" s="1"/>
      <c r="F2124" s="1" t="s">
        <v>374</v>
      </c>
      <c r="G2124" s="1" t="s">
        <v>374</v>
      </c>
      <c r="H2124" s="2" t="str">
        <f t="shared" si="73"/>
        <v>C</v>
      </c>
      <c r="I2124" s="8">
        <v>29.8</v>
      </c>
      <c r="J2124" s="8">
        <v>3100</v>
      </c>
      <c r="K2124" s="8"/>
      <c r="L2124" s="8">
        <v>4</v>
      </c>
      <c r="M2124" s="8" t="s">
        <v>571</v>
      </c>
      <c r="N2124" s="8"/>
      <c r="O2124" s="8"/>
      <c r="P2124" s="8"/>
      <c r="Q2124" s="1"/>
      <c r="R2124" s="8"/>
      <c r="S2124" s="8"/>
      <c r="T2124" s="1"/>
      <c r="U2124" s="1"/>
      <c r="V2124" s="8"/>
      <c r="W2124" s="6" t="s">
        <v>3625</v>
      </c>
    </row>
    <row r="2125" spans="1:23" x14ac:dyDescent="0.15">
      <c r="A2125" s="2" t="s">
        <v>299</v>
      </c>
      <c r="B2125" s="2" t="s">
        <v>3939</v>
      </c>
      <c r="C2125" s="2" t="s">
        <v>3520</v>
      </c>
      <c r="D2125" s="2" t="s">
        <v>458</v>
      </c>
      <c r="E2125" s="1"/>
      <c r="F2125" s="2" t="s">
        <v>204</v>
      </c>
      <c r="H2125" s="2" t="s">
        <v>3887</v>
      </c>
      <c r="I2125" s="5"/>
      <c r="J2125" s="5"/>
      <c r="K2125" s="5"/>
      <c r="L2125" s="7">
        <v>6</v>
      </c>
      <c r="M2125" s="2" t="s">
        <v>571</v>
      </c>
      <c r="N2125" s="5"/>
      <c r="O2125" s="5"/>
      <c r="P2125" s="5"/>
      <c r="R2125" s="5"/>
      <c r="S2125" s="5"/>
      <c r="V2125" s="5"/>
      <c r="W2125" s="6" t="s">
        <v>2975</v>
      </c>
    </row>
    <row r="2126" spans="1:23" x14ac:dyDescent="0.15">
      <c r="A2126" s="2" t="s">
        <v>299</v>
      </c>
      <c r="B2126" s="2" t="s">
        <v>3939</v>
      </c>
      <c r="C2126" s="2" t="s">
        <v>3520</v>
      </c>
      <c r="D2126" s="2" t="s">
        <v>458</v>
      </c>
      <c r="E2126" s="1"/>
      <c r="F2126" s="2" t="s">
        <v>440</v>
      </c>
      <c r="G2126" s="2">
        <v>10.3</v>
      </c>
      <c r="H2126" s="2" t="str">
        <f t="shared" si="73"/>
        <v>W</v>
      </c>
      <c r="I2126" s="5"/>
      <c r="J2126" s="5"/>
      <c r="K2126" s="5"/>
      <c r="L2126" s="5"/>
      <c r="M2126" s="2" t="s">
        <v>571</v>
      </c>
      <c r="N2126" s="5">
        <v>54</v>
      </c>
      <c r="O2126" s="5">
        <v>40.5</v>
      </c>
      <c r="P2126" s="5">
        <v>58.5</v>
      </c>
      <c r="Q2126" s="2" t="s">
        <v>18</v>
      </c>
      <c r="R2126" s="5"/>
      <c r="S2126" s="5"/>
      <c r="V2126" s="5"/>
      <c r="W2126" s="6" t="s">
        <v>2660</v>
      </c>
    </row>
    <row r="2127" spans="1:23" x14ac:dyDescent="0.15">
      <c r="A2127" s="2" t="s">
        <v>299</v>
      </c>
      <c r="B2127" s="2" t="s">
        <v>3939</v>
      </c>
      <c r="C2127" s="2" t="s">
        <v>3520</v>
      </c>
      <c r="D2127" s="2" t="s">
        <v>458</v>
      </c>
      <c r="E2127" s="1"/>
      <c r="F2127" s="2" t="s">
        <v>374</v>
      </c>
      <c r="G2127" s="2" t="s">
        <v>374</v>
      </c>
      <c r="H2127" s="2" t="str">
        <f t="shared" si="73"/>
        <v>C</v>
      </c>
      <c r="I2127" s="5">
        <v>26.52</v>
      </c>
      <c r="J2127" s="5">
        <v>3446.56</v>
      </c>
      <c r="K2127" s="5"/>
      <c r="L2127" s="5">
        <v>2.83</v>
      </c>
      <c r="M2127" s="2" t="s">
        <v>571</v>
      </c>
      <c r="N2127" s="5">
        <v>50.26</v>
      </c>
      <c r="O2127" s="5">
        <v>39.32</v>
      </c>
      <c r="P2127" s="5">
        <v>43.63</v>
      </c>
      <c r="Q2127" s="2" t="s">
        <v>18</v>
      </c>
      <c r="R2127" s="5">
        <v>122.96</v>
      </c>
      <c r="S2127" s="5">
        <f>(R2127/J2127)*100</f>
        <v>3.5676152453460839</v>
      </c>
      <c r="V2127" s="5"/>
      <c r="W2127" s="6" t="s">
        <v>3448</v>
      </c>
    </row>
    <row r="2128" spans="1:23" ht="12.75" customHeight="1" x14ac:dyDescent="0.15">
      <c r="A2128" s="2" t="s">
        <v>299</v>
      </c>
      <c r="B2128" s="2" t="s">
        <v>3939</v>
      </c>
      <c r="C2128" s="2" t="s">
        <v>3521</v>
      </c>
      <c r="D2128" s="2" t="s">
        <v>810</v>
      </c>
      <c r="E2128" s="1"/>
      <c r="F2128" s="2" t="s">
        <v>374</v>
      </c>
      <c r="G2128" s="2" t="s">
        <v>374</v>
      </c>
      <c r="H2128" s="2" t="str">
        <f t="shared" si="73"/>
        <v>C</v>
      </c>
      <c r="I2128" s="5">
        <v>19.05</v>
      </c>
      <c r="J2128" s="5">
        <f xml:space="preserve"> 0.0000004004*(I2128*10)^4.1841</f>
        <v>1386.1258240626971</v>
      </c>
      <c r="K2128" s="5"/>
      <c r="L2128" s="5">
        <v>5</v>
      </c>
      <c r="M2128" s="2" t="s">
        <v>571</v>
      </c>
      <c r="N2128" s="5"/>
      <c r="O2128" s="5"/>
      <c r="P2128" s="5"/>
      <c r="R2128" s="5"/>
      <c r="S2128" s="5"/>
      <c r="V2128" s="5"/>
      <c r="W2128" s="6" t="s">
        <v>3296</v>
      </c>
    </row>
    <row r="2129" spans="1:23" x14ac:dyDescent="0.15">
      <c r="A2129" s="1" t="s">
        <v>299</v>
      </c>
      <c r="B2129" s="2" t="s">
        <v>3939</v>
      </c>
      <c r="C2129" s="2" t="s">
        <v>3521</v>
      </c>
      <c r="D2129" s="1" t="s">
        <v>810</v>
      </c>
      <c r="E2129" s="1"/>
      <c r="F2129" s="1" t="s">
        <v>374</v>
      </c>
      <c r="G2129" s="1" t="s">
        <v>374</v>
      </c>
      <c r="H2129" s="2" t="str">
        <f t="shared" si="73"/>
        <v>C</v>
      </c>
      <c r="I2129" s="8">
        <v>16</v>
      </c>
      <c r="J2129" s="8">
        <v>842.44</v>
      </c>
      <c r="K2129" s="8"/>
      <c r="L2129" s="8">
        <v>3</v>
      </c>
      <c r="M2129" s="2" t="s">
        <v>571</v>
      </c>
      <c r="N2129" s="8">
        <v>41</v>
      </c>
      <c r="O2129" s="8">
        <v>29</v>
      </c>
      <c r="P2129" s="8">
        <v>19.588999999999999</v>
      </c>
      <c r="Q2129" s="1" t="s">
        <v>376</v>
      </c>
      <c r="R2129" s="8">
        <v>58.767000000000003</v>
      </c>
      <c r="S2129" s="8">
        <v>6.976</v>
      </c>
      <c r="T2129" s="1"/>
      <c r="U2129" s="1"/>
      <c r="V2129" s="8"/>
      <c r="W2129" s="6" t="s">
        <v>3600</v>
      </c>
    </row>
    <row r="2130" spans="1:23" x14ac:dyDescent="0.15">
      <c r="A2130" s="1" t="s">
        <v>299</v>
      </c>
      <c r="B2130" s="2" t="s">
        <v>3939</v>
      </c>
      <c r="C2130" s="2" t="s">
        <v>3521</v>
      </c>
      <c r="D2130" s="1" t="s">
        <v>810</v>
      </c>
      <c r="E2130" s="1"/>
      <c r="F2130" s="1" t="s">
        <v>1928</v>
      </c>
      <c r="G2130" s="1">
        <v>9</v>
      </c>
      <c r="H2130" s="2" t="s">
        <v>30</v>
      </c>
      <c r="I2130" s="8">
        <v>19</v>
      </c>
      <c r="J2130" s="8">
        <v>1237</v>
      </c>
      <c r="K2130" s="8"/>
      <c r="L2130" s="8">
        <v>5.5</v>
      </c>
      <c r="M2130" s="2" t="s">
        <v>571</v>
      </c>
      <c r="N2130" s="8">
        <v>43</v>
      </c>
      <c r="O2130" s="8">
        <v>33.75</v>
      </c>
      <c r="P2130" s="8">
        <v>30.13</v>
      </c>
      <c r="Q2130" s="1" t="s">
        <v>18</v>
      </c>
      <c r="R2130" s="8">
        <v>165.69</v>
      </c>
      <c r="S2130" s="8">
        <v>13.39</v>
      </c>
      <c r="T2130" s="27" t="s">
        <v>431</v>
      </c>
      <c r="U2130" s="1">
        <v>1</v>
      </c>
      <c r="V2130" s="8">
        <v>13.39</v>
      </c>
      <c r="W2130" s="6" t="s">
        <v>4127</v>
      </c>
    </row>
    <row r="2131" spans="1:23" x14ac:dyDescent="0.15">
      <c r="A2131" s="2" t="s">
        <v>299</v>
      </c>
      <c r="B2131" s="2" t="s">
        <v>3939</v>
      </c>
      <c r="C2131" s="2" t="s">
        <v>3521</v>
      </c>
      <c r="D2131" s="2" t="s">
        <v>810</v>
      </c>
      <c r="E2131" s="1"/>
      <c r="F2131" s="2" t="s">
        <v>374</v>
      </c>
      <c r="G2131" s="2" t="s">
        <v>374</v>
      </c>
      <c r="H2131" s="2" t="str">
        <f t="shared" si="73"/>
        <v>C</v>
      </c>
      <c r="I2131" s="5">
        <v>22.8</v>
      </c>
      <c r="J2131" s="5">
        <f xml:space="preserve"> 0.0000004004*(I2131*10)^4.1841</f>
        <v>2939.8776875787416</v>
      </c>
      <c r="K2131" s="5"/>
      <c r="L2131" s="5">
        <v>4</v>
      </c>
      <c r="M2131" s="2" t="s">
        <v>571</v>
      </c>
      <c r="N2131" s="5"/>
      <c r="O2131" s="5"/>
      <c r="P2131" s="5"/>
      <c r="R2131" s="5"/>
      <c r="S2131" s="5"/>
      <c r="V2131" s="5"/>
      <c r="W2131" s="6" t="s">
        <v>2656</v>
      </c>
    </row>
    <row r="2132" spans="1:23" x14ac:dyDescent="0.15">
      <c r="A2132" s="2" t="s">
        <v>299</v>
      </c>
      <c r="B2132" s="2" t="s">
        <v>3939</v>
      </c>
      <c r="C2132" s="2" t="s">
        <v>3521</v>
      </c>
      <c r="D2132" s="2" t="s">
        <v>420</v>
      </c>
      <c r="E2132" s="1"/>
      <c r="F2132" s="2" t="s">
        <v>333</v>
      </c>
      <c r="G2132" s="2">
        <v>5.6</v>
      </c>
      <c r="H2132" s="2" t="str">
        <f t="shared" si="73"/>
        <v>W</v>
      </c>
      <c r="I2132" s="5"/>
      <c r="J2132" s="5"/>
      <c r="K2132" s="5"/>
      <c r="L2132" s="5">
        <v>6.1</v>
      </c>
      <c r="M2132" s="2" t="s">
        <v>571</v>
      </c>
      <c r="N2132" s="5"/>
      <c r="O2132" s="5"/>
      <c r="P2132" s="5"/>
      <c r="R2132" s="5"/>
      <c r="S2132" s="5"/>
      <c r="V2132" s="5"/>
      <c r="W2132" s="6" t="s">
        <v>2112</v>
      </c>
    </row>
    <row r="2133" spans="1:23" ht="12.75" customHeight="1" x14ac:dyDescent="0.15">
      <c r="A2133" s="2" t="s">
        <v>299</v>
      </c>
      <c r="B2133" s="2" t="s">
        <v>3939</v>
      </c>
      <c r="C2133" s="2" t="s">
        <v>3521</v>
      </c>
      <c r="D2133" s="2" t="s">
        <v>420</v>
      </c>
      <c r="E2133" s="1"/>
      <c r="F2133" s="2" t="s">
        <v>421</v>
      </c>
      <c r="G2133" s="2" t="s">
        <v>374</v>
      </c>
      <c r="H2133" s="2" t="str">
        <f t="shared" si="73"/>
        <v>C</v>
      </c>
      <c r="I2133" s="5"/>
      <c r="J2133" s="5"/>
      <c r="K2133" s="5"/>
      <c r="L2133" s="5"/>
      <c r="M2133" s="5" t="s">
        <v>571</v>
      </c>
      <c r="N2133" s="5"/>
      <c r="O2133" s="5">
        <f>MEDIAN(36,37)</f>
        <v>36.5</v>
      </c>
      <c r="P2133" s="5"/>
      <c r="R2133" s="5"/>
      <c r="S2133" s="5"/>
      <c r="V2133" s="5"/>
      <c r="W2133" s="6" t="s">
        <v>2655</v>
      </c>
    </row>
    <row r="2134" spans="1:23" ht="12.75" customHeight="1" x14ac:dyDescent="0.15">
      <c r="A2134" s="2" t="s">
        <v>299</v>
      </c>
      <c r="B2134" s="2" t="s">
        <v>3939</v>
      </c>
      <c r="C2134" s="2" t="s">
        <v>3521</v>
      </c>
      <c r="D2134" s="2" t="s">
        <v>420</v>
      </c>
      <c r="E2134" s="1"/>
      <c r="F2134" s="2" t="s">
        <v>4099</v>
      </c>
      <c r="G2134" s="2">
        <v>5.2</v>
      </c>
      <c r="H2134" s="2" t="str">
        <f t="shared" si="73"/>
        <v>W</v>
      </c>
      <c r="I2134" s="5"/>
      <c r="J2134" s="5"/>
      <c r="K2134" s="5">
        <v>7</v>
      </c>
      <c r="L2134" s="5"/>
      <c r="M2134" s="5" t="s">
        <v>571</v>
      </c>
      <c r="N2134" s="5"/>
      <c r="O2134" s="5"/>
      <c r="P2134" s="5"/>
      <c r="R2134" s="5"/>
      <c r="S2134" s="5"/>
      <c r="V2134" s="5"/>
      <c r="W2134" s="6" t="s">
        <v>4098</v>
      </c>
    </row>
    <row r="2135" spans="1:23" x14ac:dyDescent="0.15">
      <c r="A2135" s="2" t="s">
        <v>299</v>
      </c>
      <c r="B2135" s="2" t="s">
        <v>3939</v>
      </c>
      <c r="C2135" s="2" t="s">
        <v>3521</v>
      </c>
      <c r="D2135" s="2" t="s">
        <v>420</v>
      </c>
      <c r="E2135" s="1"/>
      <c r="F2135" s="2" t="s">
        <v>484</v>
      </c>
      <c r="G2135" s="2">
        <v>-1.35</v>
      </c>
      <c r="H2135" s="2" t="str">
        <f t="shared" si="73"/>
        <v>W</v>
      </c>
      <c r="I2135" s="5">
        <f xml:space="preserve"> EXP(LN(J2135/0.0000004004)/4.1841)/10</f>
        <v>20.917670730748075</v>
      </c>
      <c r="J2135" s="5">
        <v>2050</v>
      </c>
      <c r="K2135" s="7"/>
      <c r="L2135" s="7">
        <v>10</v>
      </c>
      <c r="M2135" s="7" t="s">
        <v>571</v>
      </c>
      <c r="N2135" s="7">
        <v>41.3</v>
      </c>
      <c r="O2135" s="5">
        <v>35.799999999999997</v>
      </c>
      <c r="P2135" s="5">
        <v>28.4</v>
      </c>
      <c r="Q2135" s="2" t="s">
        <v>18</v>
      </c>
      <c r="R2135" s="5">
        <f>P2135*L2135</f>
        <v>284</v>
      </c>
      <c r="S2135" s="5">
        <f>(R2135/J2135)*100</f>
        <v>13.853658536585368</v>
      </c>
      <c r="V2135" s="5"/>
      <c r="W2135" s="6" t="s">
        <v>2559</v>
      </c>
    </row>
    <row r="2136" spans="1:23" x14ac:dyDescent="0.15">
      <c r="A2136" s="2" t="s">
        <v>299</v>
      </c>
      <c r="B2136" s="2" t="s">
        <v>3939</v>
      </c>
      <c r="C2136" s="2" t="s">
        <v>3521</v>
      </c>
      <c r="D2136" s="2" t="s">
        <v>420</v>
      </c>
      <c r="E2136" s="1"/>
      <c r="F2136" s="2" t="s">
        <v>558</v>
      </c>
      <c r="H2136" s="2" t="s">
        <v>3887</v>
      </c>
      <c r="I2136" s="5"/>
      <c r="J2136" s="5"/>
      <c r="K2136" s="7"/>
      <c r="L2136" s="7"/>
      <c r="M2136" s="7" t="s">
        <v>571</v>
      </c>
      <c r="N2136" s="7">
        <v>45</v>
      </c>
      <c r="O2136" s="5">
        <v>31</v>
      </c>
      <c r="P2136" s="5">
        <f xml:space="preserve"> 0.68*N2136 + 1.346*O2136 - 46.145</f>
        <v>26.18099999999999</v>
      </c>
      <c r="Q2136" s="2" t="s">
        <v>376</v>
      </c>
      <c r="R2136" s="5"/>
      <c r="S2136" s="5"/>
      <c r="V2136" s="5"/>
      <c r="W2136" s="6" t="s">
        <v>2651</v>
      </c>
    </row>
    <row r="2137" spans="1:23" x14ac:dyDescent="0.15">
      <c r="A2137" s="2" t="s">
        <v>299</v>
      </c>
      <c r="B2137" s="2" t="s">
        <v>3939</v>
      </c>
      <c r="C2137" s="2" t="s">
        <v>3521</v>
      </c>
      <c r="D2137" s="2" t="s">
        <v>422</v>
      </c>
      <c r="E2137" s="1"/>
      <c r="F2137" s="2" t="s">
        <v>333</v>
      </c>
      <c r="G2137" s="2">
        <v>5.6</v>
      </c>
      <c r="H2137" s="2" t="str">
        <f t="shared" si="73"/>
        <v>W</v>
      </c>
      <c r="I2137" s="5"/>
      <c r="J2137" s="5"/>
      <c r="K2137" s="5"/>
      <c r="L2137" s="5">
        <v>5.4</v>
      </c>
      <c r="M2137" s="2" t="s">
        <v>571</v>
      </c>
      <c r="N2137" s="5"/>
      <c r="O2137" s="5"/>
      <c r="P2137" s="5"/>
      <c r="R2137" s="5"/>
      <c r="S2137" s="5"/>
      <c r="V2137" s="5"/>
      <c r="W2137" s="6" t="s">
        <v>2112</v>
      </c>
    </row>
    <row r="2138" spans="1:23" x14ac:dyDescent="0.15">
      <c r="A2138" s="2" t="s">
        <v>299</v>
      </c>
      <c r="B2138" s="2" t="s">
        <v>3939</v>
      </c>
      <c r="C2138" s="2" t="s">
        <v>3521</v>
      </c>
      <c r="D2138" s="2" t="s">
        <v>422</v>
      </c>
      <c r="E2138" s="1"/>
      <c r="F2138" s="2" t="s">
        <v>371</v>
      </c>
      <c r="H2138" s="2" t="s">
        <v>3887</v>
      </c>
      <c r="I2138" s="5"/>
      <c r="J2138" s="5"/>
      <c r="K2138" s="5"/>
      <c r="L2138" s="5"/>
      <c r="M2138" s="5" t="s">
        <v>571</v>
      </c>
      <c r="N2138" s="5">
        <v>46</v>
      </c>
      <c r="O2138" s="5">
        <v>33.5</v>
      </c>
      <c r="P2138" s="5">
        <f xml:space="preserve"> 0.68*N2138 + 1.346*O2138 - 46.145</f>
        <v>30.226000000000006</v>
      </c>
      <c r="Q2138" s="2" t="s">
        <v>376</v>
      </c>
      <c r="R2138" s="5"/>
      <c r="S2138" s="5"/>
      <c r="V2138" s="5"/>
      <c r="W2138" s="6" t="s">
        <v>2655</v>
      </c>
    </row>
    <row r="2139" spans="1:23" x14ac:dyDescent="0.15">
      <c r="A2139" s="2" t="s">
        <v>299</v>
      </c>
      <c r="B2139" s="2" t="s">
        <v>3939</v>
      </c>
      <c r="C2139" s="2" t="s">
        <v>3521</v>
      </c>
      <c r="D2139" s="2" t="s">
        <v>422</v>
      </c>
      <c r="E2139" s="1"/>
      <c r="F2139" s="2" t="s">
        <v>374</v>
      </c>
      <c r="G2139" s="2" t="s">
        <v>374</v>
      </c>
      <c r="H2139" s="2" t="str">
        <f t="shared" si="73"/>
        <v>C</v>
      </c>
      <c r="I2139" s="5"/>
      <c r="J2139" s="5"/>
      <c r="K2139" s="5"/>
      <c r="L2139" s="5">
        <v>4.5</v>
      </c>
      <c r="M2139" s="7" t="s">
        <v>571</v>
      </c>
      <c r="N2139" s="5">
        <v>40</v>
      </c>
      <c r="O2139" s="5">
        <v>30</v>
      </c>
      <c r="P2139" s="5">
        <v>14.183</v>
      </c>
      <c r="Q2139" s="2" t="s">
        <v>376</v>
      </c>
      <c r="R2139" s="5">
        <f>P2139*L2139</f>
        <v>63.823499999999996</v>
      </c>
      <c r="S2139" s="5"/>
      <c r="V2139" s="5"/>
      <c r="W2139" s="6" t="s">
        <v>2653</v>
      </c>
    </row>
    <row r="2140" spans="1:23" x14ac:dyDescent="0.15">
      <c r="A2140" s="2" t="s">
        <v>299</v>
      </c>
      <c r="B2140" s="2" t="s">
        <v>3939</v>
      </c>
      <c r="C2140" s="2" t="s">
        <v>3521</v>
      </c>
      <c r="D2140" s="2" t="s">
        <v>422</v>
      </c>
      <c r="E2140" s="1"/>
      <c r="F2140" s="2" t="s">
        <v>374</v>
      </c>
      <c r="G2140" s="2" t="s">
        <v>374</v>
      </c>
      <c r="H2140" s="2" t="str">
        <f t="shared" si="73"/>
        <v>C</v>
      </c>
      <c r="I2140" s="5"/>
      <c r="J2140" s="5"/>
      <c r="K2140" s="5"/>
      <c r="L2140" s="7">
        <f>MEDIAN(2,3)</f>
        <v>2.5</v>
      </c>
      <c r="M2140" s="2" t="s">
        <v>571</v>
      </c>
      <c r="N2140" s="7"/>
      <c r="O2140" s="5"/>
      <c r="P2140" s="5"/>
      <c r="R2140" s="5"/>
      <c r="S2140" s="5"/>
      <c r="T2140" s="2">
        <v>2</v>
      </c>
      <c r="U2140" s="2" t="str">
        <f>IF(T2140&lt;=1, "1",IF(AND(T2140&gt;1,T2140&lt;4), "2-3", "+4"))</f>
        <v>2-3</v>
      </c>
      <c r="V2140" s="5"/>
      <c r="W2140" s="6" t="s">
        <v>2654</v>
      </c>
    </row>
    <row r="2141" spans="1:23" x14ac:dyDescent="0.15">
      <c r="A2141" s="2" t="s">
        <v>299</v>
      </c>
      <c r="B2141" s="2" t="s">
        <v>3939</v>
      </c>
      <c r="C2141" s="2" t="s">
        <v>3521</v>
      </c>
      <c r="D2141" s="2" t="s">
        <v>422</v>
      </c>
      <c r="E2141" s="1"/>
      <c r="F2141" s="2" t="s">
        <v>4099</v>
      </c>
      <c r="G2141" s="2">
        <v>5.2</v>
      </c>
      <c r="H2141" s="2" t="str">
        <f t="shared" si="73"/>
        <v>W</v>
      </c>
      <c r="I2141" s="5"/>
      <c r="J2141" s="5"/>
      <c r="K2141" s="5"/>
      <c r="L2141" s="7"/>
      <c r="M2141" s="2" t="s">
        <v>571</v>
      </c>
      <c r="N2141" s="7"/>
      <c r="O2141" s="5"/>
      <c r="P2141" s="5"/>
      <c r="R2141" s="5"/>
      <c r="S2141" s="5"/>
      <c r="V2141" s="5"/>
      <c r="W2141" s="6" t="s">
        <v>4098</v>
      </c>
    </row>
    <row r="2142" spans="1:23" x14ac:dyDescent="0.15">
      <c r="A2142" s="2" t="s">
        <v>299</v>
      </c>
      <c r="B2142" s="2" t="s">
        <v>3939</v>
      </c>
      <c r="C2142" s="2" t="s">
        <v>3521</v>
      </c>
      <c r="D2142" s="2" t="s">
        <v>422</v>
      </c>
      <c r="E2142" s="1"/>
      <c r="F2142" s="2" t="s">
        <v>558</v>
      </c>
      <c r="H2142" s="2" t="s">
        <v>3887</v>
      </c>
      <c r="I2142" s="5"/>
      <c r="J2142" s="5"/>
      <c r="K2142" s="7"/>
      <c r="L2142" s="7"/>
      <c r="M2142" s="2" t="s">
        <v>571</v>
      </c>
      <c r="N2142" s="7">
        <v>46</v>
      </c>
      <c r="O2142" s="5">
        <v>32.5</v>
      </c>
      <c r="P2142" s="5">
        <f xml:space="preserve"> 0.68*N2142 + 1.346*O2142 - 46.145</f>
        <v>28.880000000000003</v>
      </c>
      <c r="Q2142" s="2" t="s">
        <v>376</v>
      </c>
      <c r="R2142" s="5"/>
      <c r="S2142" s="5"/>
      <c r="V2142" s="5"/>
      <c r="W2142" s="6" t="s">
        <v>2651</v>
      </c>
    </row>
    <row r="2143" spans="1:23" x14ac:dyDescent="0.15">
      <c r="A2143" s="2" t="s">
        <v>299</v>
      </c>
      <c r="B2143" s="2" t="s">
        <v>3939</v>
      </c>
      <c r="C2143" s="2" t="s">
        <v>3521</v>
      </c>
      <c r="D2143" s="2" t="s">
        <v>811</v>
      </c>
      <c r="E2143" s="1"/>
      <c r="F2143" s="2" t="s">
        <v>2444</v>
      </c>
      <c r="G2143" s="2">
        <v>-25.45</v>
      </c>
      <c r="H2143" s="2" t="str">
        <f t="shared" si="73"/>
        <v>W</v>
      </c>
      <c r="I2143" s="5">
        <v>15.4</v>
      </c>
      <c r="J2143" s="5">
        <f xml:space="preserve"> 0.0000004004*(I2143*10)^4.1841</f>
        <v>569.2453830082552</v>
      </c>
      <c r="K2143" s="5"/>
      <c r="L2143" s="5">
        <v>2.8</v>
      </c>
      <c r="M2143" s="2" t="s">
        <v>571</v>
      </c>
      <c r="N2143" s="5"/>
      <c r="O2143" s="5"/>
      <c r="P2143" s="5"/>
      <c r="R2143" s="5"/>
      <c r="S2143" s="5"/>
      <c r="V2143" s="5"/>
      <c r="W2143" s="6" t="s">
        <v>2652</v>
      </c>
    </row>
    <row r="2144" spans="1:23" x14ac:dyDescent="0.15">
      <c r="A2144" s="2" t="s">
        <v>299</v>
      </c>
      <c r="B2144" s="2" t="s">
        <v>3939</v>
      </c>
      <c r="C2144" s="2" t="s">
        <v>3521</v>
      </c>
      <c r="D2144" s="2" t="s">
        <v>812</v>
      </c>
      <c r="E2144" s="1"/>
      <c r="F2144" s="2" t="s">
        <v>3557</v>
      </c>
      <c r="H2144" s="2" t="s">
        <v>3887</v>
      </c>
      <c r="I2144" s="5"/>
      <c r="J2144" s="5"/>
      <c r="K2144" s="5"/>
      <c r="L2144" s="5"/>
      <c r="M2144" s="2" t="s">
        <v>571</v>
      </c>
      <c r="N2144" s="5">
        <v>32</v>
      </c>
      <c r="O2144" s="5"/>
      <c r="P2144" s="5"/>
      <c r="R2144" s="5"/>
      <c r="S2144" s="5"/>
      <c r="V2144" s="5"/>
      <c r="W2144" s="6" t="s">
        <v>3559</v>
      </c>
    </row>
    <row r="2145" spans="1:23" x14ac:dyDescent="0.15">
      <c r="A2145" s="2" t="s">
        <v>299</v>
      </c>
      <c r="B2145" s="2" t="s">
        <v>3939</v>
      </c>
      <c r="C2145" s="2" t="s">
        <v>3521</v>
      </c>
      <c r="D2145" s="2" t="s">
        <v>812</v>
      </c>
      <c r="E2145" s="1"/>
      <c r="F2145" s="2" t="s">
        <v>3557</v>
      </c>
      <c r="H2145" s="2" t="s">
        <v>3887</v>
      </c>
      <c r="I2145" s="5"/>
      <c r="J2145" s="5"/>
      <c r="K2145" s="5"/>
      <c r="L2145" s="5">
        <v>2</v>
      </c>
      <c r="M2145" s="2" t="s">
        <v>571</v>
      </c>
      <c r="N2145" s="5"/>
      <c r="O2145" s="5"/>
      <c r="P2145" s="5"/>
      <c r="R2145" s="5"/>
      <c r="S2145" s="5"/>
      <c r="V2145" s="5"/>
      <c r="W2145" s="6" t="s">
        <v>3556</v>
      </c>
    </row>
    <row r="2146" spans="1:23" x14ac:dyDescent="0.15">
      <c r="A2146" s="2" t="s">
        <v>299</v>
      </c>
      <c r="B2146" s="2" t="s">
        <v>3939</v>
      </c>
      <c r="C2146" s="2" t="s">
        <v>3521</v>
      </c>
      <c r="D2146" s="2" t="s">
        <v>812</v>
      </c>
      <c r="E2146" s="1"/>
      <c r="F2146" s="2" t="s">
        <v>3557</v>
      </c>
      <c r="G2146" s="2">
        <v>-25</v>
      </c>
      <c r="H2146" s="2" t="str">
        <f t="shared" si="73"/>
        <v>W</v>
      </c>
      <c r="I2146" s="5">
        <v>12.8</v>
      </c>
      <c r="J2146" s="5">
        <v>470.8</v>
      </c>
      <c r="K2146" s="5"/>
      <c r="L2146" s="5"/>
      <c r="M2146" s="2" t="s">
        <v>571</v>
      </c>
      <c r="N2146" s="5"/>
      <c r="O2146" s="5"/>
      <c r="P2146" s="5"/>
      <c r="R2146" s="5"/>
      <c r="S2146" s="5"/>
      <c r="V2146" s="5"/>
      <c r="W2146" s="6" t="s">
        <v>3558</v>
      </c>
    </row>
    <row r="2147" spans="1:23" x14ac:dyDescent="0.15">
      <c r="A2147" s="1" t="s">
        <v>299</v>
      </c>
      <c r="B2147" s="2" t="s">
        <v>3939</v>
      </c>
      <c r="C2147" s="2" t="s">
        <v>3521</v>
      </c>
      <c r="D2147" s="1" t="s">
        <v>559</v>
      </c>
      <c r="E2147" s="1"/>
      <c r="F2147" s="1" t="s">
        <v>3578</v>
      </c>
      <c r="G2147" s="1" t="s">
        <v>374</v>
      </c>
      <c r="H2147" s="2" t="str">
        <f t="shared" si="73"/>
        <v>C</v>
      </c>
      <c r="I2147" s="8">
        <v>14.7</v>
      </c>
      <c r="J2147" s="8">
        <v>800</v>
      </c>
      <c r="K2147" s="8"/>
      <c r="L2147" s="8">
        <v>4</v>
      </c>
      <c r="M2147" s="2" t="s">
        <v>571</v>
      </c>
      <c r="N2147" s="8">
        <v>41.5</v>
      </c>
      <c r="O2147" s="8">
        <v>28.5</v>
      </c>
      <c r="P2147" s="8">
        <v>16.193000000000001</v>
      </c>
      <c r="Q2147" s="1" t="s">
        <v>376</v>
      </c>
      <c r="R2147" s="8">
        <v>64.772000000000006</v>
      </c>
      <c r="S2147" s="8">
        <v>8.1</v>
      </c>
      <c r="T2147" s="1"/>
      <c r="U2147" s="1"/>
      <c r="V2147" s="8"/>
      <c r="W2147" s="6" t="s">
        <v>3601</v>
      </c>
    </row>
    <row r="2148" spans="1:23" x14ac:dyDescent="0.15">
      <c r="A2148" s="2" t="s">
        <v>299</v>
      </c>
      <c r="B2148" s="2" t="s">
        <v>3939</v>
      </c>
      <c r="C2148" s="2" t="s">
        <v>3521</v>
      </c>
      <c r="D2148" s="2" t="s">
        <v>559</v>
      </c>
      <c r="E2148" s="1"/>
      <c r="F2148" s="2" t="s">
        <v>374</v>
      </c>
      <c r="G2148" s="2" t="s">
        <v>374</v>
      </c>
      <c r="H2148" s="2" t="str">
        <f t="shared" si="73"/>
        <v>C</v>
      </c>
      <c r="I2148" s="5"/>
      <c r="J2148" s="5"/>
      <c r="K2148" s="5"/>
      <c r="L2148" s="7">
        <f>MEDIAN(2,5)</f>
        <v>3.5</v>
      </c>
      <c r="M2148" s="2" t="s">
        <v>571</v>
      </c>
      <c r="N2148" s="5">
        <v>34</v>
      </c>
      <c r="O2148" s="5">
        <v>28</v>
      </c>
      <c r="P2148" s="5">
        <f>MEDIAN(15,25)</f>
        <v>20</v>
      </c>
      <c r="Q2148" s="2" t="s">
        <v>18</v>
      </c>
      <c r="R2148" s="5">
        <f>P2148*L2148</f>
        <v>70</v>
      </c>
      <c r="S2148" s="5"/>
      <c r="T2148" s="9">
        <f>MEDIAN(1,2)</f>
        <v>1.5</v>
      </c>
      <c r="U2148" s="2" t="str">
        <f>IF(T2148&lt;=1, "1",IF(AND(T2148&gt;1,T2148&lt;4), "2-3", "+4"))</f>
        <v>2-3</v>
      </c>
      <c r="V2148" s="5"/>
      <c r="W2148" s="6" t="s">
        <v>3348</v>
      </c>
    </row>
    <row r="2149" spans="1:23" x14ac:dyDescent="0.15">
      <c r="A2149" s="2" t="s">
        <v>299</v>
      </c>
      <c r="B2149" s="2" t="s">
        <v>3939</v>
      </c>
      <c r="C2149" s="2" t="s">
        <v>3521</v>
      </c>
      <c r="D2149" s="2" t="s">
        <v>559</v>
      </c>
      <c r="E2149" s="1"/>
      <c r="F2149" s="2" t="s">
        <v>558</v>
      </c>
      <c r="H2149" s="2" t="s">
        <v>3887</v>
      </c>
      <c r="I2149" s="5"/>
      <c r="J2149" s="5"/>
      <c r="K2149" s="5"/>
      <c r="L2149" s="5"/>
      <c r="M2149" s="2" t="s">
        <v>571</v>
      </c>
      <c r="N2149" s="5">
        <v>42</v>
      </c>
      <c r="O2149" s="5">
        <v>34</v>
      </c>
      <c r="P2149" s="5">
        <f xml:space="preserve"> 0.68*N2149 + 1.346*O2149 - 46.145</f>
        <v>28.179000000000009</v>
      </c>
      <c r="Q2149" s="2" t="s">
        <v>376</v>
      </c>
      <c r="R2149" s="5"/>
      <c r="S2149" s="5"/>
      <c r="V2149" s="5"/>
      <c r="W2149" s="6" t="s">
        <v>2651</v>
      </c>
    </row>
    <row r="2150" spans="1:23" x14ac:dyDescent="0.15">
      <c r="A2150" s="2" t="s">
        <v>299</v>
      </c>
      <c r="B2150" s="2" t="s">
        <v>3939</v>
      </c>
      <c r="C2150" s="2" t="s">
        <v>3521</v>
      </c>
      <c r="D2150" s="2" t="s">
        <v>638</v>
      </c>
      <c r="E2150" s="1"/>
      <c r="F2150" s="2" t="s">
        <v>639</v>
      </c>
      <c r="H2150" s="2" t="s">
        <v>3887</v>
      </c>
      <c r="I2150" s="5">
        <v>16</v>
      </c>
      <c r="J2150" s="5">
        <f xml:space="preserve"> 0.0000004004*(I2150*10)^4.1841</f>
        <v>667.96312559940395</v>
      </c>
      <c r="K2150" s="5"/>
      <c r="L2150" s="7">
        <f>MEDIAN(2,6)</f>
        <v>4</v>
      </c>
      <c r="M2150" s="2" t="s">
        <v>571</v>
      </c>
      <c r="N2150" s="7">
        <f>MEDIAN(38,47)</f>
        <v>42.5</v>
      </c>
      <c r="O2150" s="7">
        <f>MEDIAN(30,34)</f>
        <v>32</v>
      </c>
      <c r="P2150" s="5">
        <f>MEDIAN(20,31)</f>
        <v>25.5</v>
      </c>
      <c r="Q2150" s="2" t="s">
        <v>18</v>
      </c>
      <c r="R2150" s="5"/>
      <c r="S2150" s="5"/>
      <c r="T2150" s="2" t="s">
        <v>495</v>
      </c>
      <c r="U2150" s="40" t="s">
        <v>395</v>
      </c>
      <c r="V2150" s="5"/>
      <c r="W2150" s="6" t="s">
        <v>1929</v>
      </c>
    </row>
    <row r="2151" spans="1:23" x14ac:dyDescent="0.15">
      <c r="A2151" s="2" t="s">
        <v>299</v>
      </c>
      <c r="B2151" s="2" t="s">
        <v>3939</v>
      </c>
      <c r="C2151" s="2" t="s">
        <v>3521</v>
      </c>
      <c r="D2151" s="2" t="s">
        <v>638</v>
      </c>
      <c r="E2151" s="1"/>
      <c r="F2151" s="2" t="s">
        <v>641</v>
      </c>
      <c r="G2151" s="2">
        <v>-18.170000000000002</v>
      </c>
      <c r="H2151" s="2" t="str">
        <f t="shared" si="73"/>
        <v>W</v>
      </c>
      <c r="I2151" s="5">
        <v>16.760000000000002</v>
      </c>
      <c r="J2151" s="5">
        <v>752</v>
      </c>
      <c r="K2151" s="5">
        <v>9</v>
      </c>
      <c r="L2151" s="5"/>
      <c r="M2151" s="2" t="s">
        <v>571</v>
      </c>
      <c r="N2151" s="5"/>
      <c r="O2151" s="5"/>
      <c r="P2151" s="5"/>
      <c r="R2151" s="5"/>
      <c r="S2151" s="5"/>
      <c r="V2151" s="5"/>
      <c r="W2151" s="6" t="s">
        <v>2649</v>
      </c>
    </row>
    <row r="2152" spans="1:23" x14ac:dyDescent="0.15">
      <c r="A2152" s="2" t="s">
        <v>299</v>
      </c>
      <c r="B2152" s="2" t="s">
        <v>3939</v>
      </c>
      <c r="C2152" s="2" t="s">
        <v>3521</v>
      </c>
      <c r="D2152" s="2" t="s">
        <v>638</v>
      </c>
      <c r="E2152" s="1"/>
      <c r="F2152" s="2" t="s">
        <v>641</v>
      </c>
      <c r="G2152" s="2">
        <v>-17.829999999999998</v>
      </c>
      <c r="H2152" s="2" t="str">
        <f t="shared" si="73"/>
        <v>W</v>
      </c>
      <c r="I2152" s="5">
        <v>18.59</v>
      </c>
      <c r="J2152" s="5">
        <v>1028.3</v>
      </c>
      <c r="K2152" s="5"/>
      <c r="L2152" s="5">
        <v>3.75</v>
      </c>
      <c r="M2152" s="2" t="s">
        <v>571</v>
      </c>
      <c r="N2152" s="5">
        <v>40.799999999999997</v>
      </c>
      <c r="O2152" s="5">
        <v>30.7</v>
      </c>
      <c r="P2152" s="5">
        <v>23</v>
      </c>
      <c r="Q2152" s="2" t="s">
        <v>18</v>
      </c>
      <c r="R2152" s="5">
        <v>86.25</v>
      </c>
      <c r="S2152" s="5">
        <v>8.39</v>
      </c>
      <c r="V2152" s="5"/>
      <c r="W2152" s="6" t="s">
        <v>2648</v>
      </c>
    </row>
    <row r="2153" spans="1:23" ht="15" customHeight="1" x14ac:dyDescent="0.15">
      <c r="A2153" s="2" t="s">
        <v>299</v>
      </c>
      <c r="B2153" s="2" t="s">
        <v>3939</v>
      </c>
      <c r="C2153" s="2" t="s">
        <v>3521</v>
      </c>
      <c r="D2153" s="2" t="s">
        <v>638</v>
      </c>
      <c r="E2153" s="1"/>
      <c r="F2153" s="2" t="s">
        <v>640</v>
      </c>
      <c r="G2153" s="2">
        <v>-17.829999999999998</v>
      </c>
      <c r="H2153" s="2" t="str">
        <f t="shared" si="73"/>
        <v>W</v>
      </c>
      <c r="I2153" s="5"/>
      <c r="J2153" s="5"/>
      <c r="K2153" s="5"/>
      <c r="L2153" s="5">
        <v>5</v>
      </c>
      <c r="M2153" s="2" t="s">
        <v>571</v>
      </c>
      <c r="N2153" s="5">
        <v>38</v>
      </c>
      <c r="O2153" s="5">
        <v>30</v>
      </c>
      <c r="P2153" s="5">
        <f xml:space="preserve"> 0.68*N2153 + 1.346*O2153 - 46.145</f>
        <v>20.074999999999996</v>
      </c>
      <c r="Q2153" s="2" t="s">
        <v>376</v>
      </c>
      <c r="R2153" s="5">
        <f>P2153*L2153</f>
        <v>100.37499999999997</v>
      </c>
      <c r="S2153" s="5"/>
      <c r="V2153" s="5"/>
      <c r="W2153" s="6" t="s">
        <v>2650</v>
      </c>
    </row>
    <row r="2154" spans="1:23" x14ac:dyDescent="0.15">
      <c r="A2154" s="2" t="s">
        <v>299</v>
      </c>
      <c r="B2154" s="2" t="s">
        <v>3939</v>
      </c>
      <c r="C2154" s="2" t="s">
        <v>3521</v>
      </c>
      <c r="D2154" s="2" t="s">
        <v>638</v>
      </c>
      <c r="E2154" s="1"/>
      <c r="F2154" s="2" t="s">
        <v>374</v>
      </c>
      <c r="G2154" s="2" t="s">
        <v>374</v>
      </c>
      <c r="H2154" s="2" t="str">
        <f t="shared" si="73"/>
        <v>C</v>
      </c>
      <c r="I2154" s="5">
        <v>20</v>
      </c>
      <c r="J2154" s="5">
        <v>1190</v>
      </c>
      <c r="K2154" s="5"/>
      <c r="L2154" s="5">
        <v>3</v>
      </c>
      <c r="M2154" s="2" t="s">
        <v>571</v>
      </c>
      <c r="N2154" s="5">
        <v>41</v>
      </c>
      <c r="O2154" s="5">
        <v>34</v>
      </c>
      <c r="P2154" s="5">
        <f xml:space="preserve"> 0.68*N2154 + 1.346*O2154 - 46.145</f>
        <v>27.499000000000002</v>
      </c>
      <c r="Q2154" s="2" t="s">
        <v>376</v>
      </c>
      <c r="R2154" s="5">
        <f>P2154*L2154</f>
        <v>82.497000000000014</v>
      </c>
      <c r="S2154" s="5">
        <f>(R2154/J2154)*100</f>
        <v>6.9325210084033628</v>
      </c>
      <c r="T2154" s="2">
        <v>1</v>
      </c>
      <c r="U2154" s="2" t="str">
        <f>IF(T2154&lt;=1, "1",IF(AND(T2154&gt;1,T2154&lt;4), "2-3", "+4"))</f>
        <v>1</v>
      </c>
      <c r="V2154" s="5">
        <f>S2154*T2154</f>
        <v>6.9325210084033628</v>
      </c>
      <c r="W2154" s="6" t="s">
        <v>3349</v>
      </c>
    </row>
    <row r="2155" spans="1:23" x14ac:dyDescent="0.15">
      <c r="A2155" s="2" t="s">
        <v>299</v>
      </c>
      <c r="B2155" s="2" t="s">
        <v>3939</v>
      </c>
      <c r="C2155" s="2" t="s">
        <v>3521</v>
      </c>
      <c r="D2155" s="2" t="s">
        <v>642</v>
      </c>
      <c r="E2155" s="1" t="s">
        <v>3819</v>
      </c>
      <c r="F2155" s="2" t="s">
        <v>639</v>
      </c>
      <c r="H2155" s="2" t="s">
        <v>3887</v>
      </c>
      <c r="I2155" s="5">
        <f>MEDIAN(19,22)</f>
        <v>20.5</v>
      </c>
      <c r="J2155" s="5">
        <f xml:space="preserve"> 0.0036*(I2155*10)^2.436</f>
        <v>1540.7596849056572</v>
      </c>
      <c r="K2155" s="5"/>
      <c r="L2155" s="7">
        <f>MEDIAN(2,7)</f>
        <v>4.5</v>
      </c>
      <c r="M2155" s="2" t="s">
        <v>571</v>
      </c>
      <c r="N2155" s="7">
        <f>MEDIAN(38,48)</f>
        <v>43</v>
      </c>
      <c r="O2155" s="5">
        <f>MEDIAN(32,36)</f>
        <v>34</v>
      </c>
      <c r="P2155" s="5">
        <f>MEDIAN(23,32)</f>
        <v>27.5</v>
      </c>
      <c r="Q2155" s="2" t="s">
        <v>18</v>
      </c>
      <c r="R2155" s="5">
        <f>P2155*L2155</f>
        <v>123.75</v>
      </c>
      <c r="S2155" s="5">
        <f>(R2155/J2155)*100</f>
        <v>8.0317522071962433</v>
      </c>
      <c r="T2155" s="2">
        <v>2</v>
      </c>
      <c r="U2155" s="2" t="str">
        <f>IF(T2155&lt;=1, "1",IF(AND(T2155&gt;1,T2155&lt;4), "2-3", "+4"))</f>
        <v>2-3</v>
      </c>
      <c r="V2155" s="5">
        <f>T2155*S2155</f>
        <v>16.063504414392487</v>
      </c>
      <c r="W2155" s="6" t="s">
        <v>1929</v>
      </c>
    </row>
    <row r="2156" spans="1:23" ht="12.75" customHeight="1" x14ac:dyDescent="0.15">
      <c r="A2156" s="2" t="s">
        <v>299</v>
      </c>
      <c r="B2156" s="2" t="s">
        <v>3939</v>
      </c>
      <c r="C2156" s="2" t="s">
        <v>3521</v>
      </c>
      <c r="D2156" s="2" t="s">
        <v>642</v>
      </c>
      <c r="E2156" s="1" t="s">
        <v>4458</v>
      </c>
      <c r="F2156" s="2" t="s">
        <v>301</v>
      </c>
      <c r="G2156" s="2">
        <v>-13.33</v>
      </c>
      <c r="H2156" s="2" t="str">
        <f t="shared" si="73"/>
        <v>W</v>
      </c>
      <c r="I2156" s="5">
        <v>18.059999999999999</v>
      </c>
      <c r="J2156" s="5">
        <v>1175.8</v>
      </c>
      <c r="K2156" s="7"/>
      <c r="L2156" s="7"/>
      <c r="M2156" s="2" t="s">
        <v>571</v>
      </c>
      <c r="N2156" s="7"/>
      <c r="O2156" s="5"/>
      <c r="P2156" s="5"/>
      <c r="R2156" s="5"/>
      <c r="S2156" s="5"/>
      <c r="V2156" s="5"/>
      <c r="W2156" s="6" t="s">
        <v>2647</v>
      </c>
    </row>
    <row r="2157" spans="1:23" x14ac:dyDescent="0.15">
      <c r="A2157" s="2" t="s">
        <v>299</v>
      </c>
      <c r="B2157" s="2" t="s">
        <v>3939</v>
      </c>
      <c r="C2157" s="2" t="s">
        <v>3521</v>
      </c>
      <c r="D2157" s="2" t="s">
        <v>642</v>
      </c>
      <c r="E2157" s="1" t="s">
        <v>4458</v>
      </c>
      <c r="F2157" s="2" t="s">
        <v>301</v>
      </c>
      <c r="H2157" s="2" t="s">
        <v>3887</v>
      </c>
      <c r="I2157" s="5">
        <v>19.600000000000001</v>
      </c>
      <c r="J2157" s="5">
        <v>1400</v>
      </c>
      <c r="K2157" s="7">
        <f>MEDIAN(8,11)</f>
        <v>9.5</v>
      </c>
      <c r="L2157" s="7">
        <f>MEDIAN(2,10)</f>
        <v>6</v>
      </c>
      <c r="M2157" s="2" t="s">
        <v>571</v>
      </c>
      <c r="N2157" s="5"/>
      <c r="O2157" s="5"/>
      <c r="P2157" s="5"/>
      <c r="R2157" s="5"/>
      <c r="S2157" s="5"/>
      <c r="T2157" s="2" t="s">
        <v>122</v>
      </c>
      <c r="V2157" s="5"/>
      <c r="W2157" s="6" t="s">
        <v>2622</v>
      </c>
    </row>
    <row r="2158" spans="1:23" ht="12.75" customHeight="1" x14ac:dyDescent="0.15">
      <c r="A2158" s="1" t="s">
        <v>299</v>
      </c>
      <c r="B2158" s="2" t="s">
        <v>3939</v>
      </c>
      <c r="C2158" s="2" t="s">
        <v>3521</v>
      </c>
      <c r="D2158" s="1" t="s">
        <v>642</v>
      </c>
      <c r="E2158" s="1" t="s">
        <v>3819</v>
      </c>
      <c r="F2158" s="1" t="s">
        <v>304</v>
      </c>
      <c r="G2158" s="1">
        <v>-28.03</v>
      </c>
      <c r="H2158" s="2" t="str">
        <f t="shared" si="73"/>
        <v>W</v>
      </c>
      <c r="I2158" s="8">
        <v>21.8</v>
      </c>
      <c r="J2158" s="8">
        <v>1798</v>
      </c>
      <c r="K2158" s="8"/>
      <c r="L2158" s="8">
        <v>3</v>
      </c>
      <c r="M2158" s="2" t="s">
        <v>571</v>
      </c>
      <c r="N2158" s="8">
        <v>40.33</v>
      </c>
      <c r="O2158" s="8">
        <v>33.56</v>
      </c>
      <c r="P2158" s="8">
        <v>32</v>
      </c>
      <c r="Q2158" s="1" t="s">
        <v>18</v>
      </c>
      <c r="R2158" s="8">
        <v>96</v>
      </c>
      <c r="S2158" s="8">
        <v>5.34</v>
      </c>
      <c r="T2158" s="1">
        <v>3</v>
      </c>
      <c r="U2158" s="2" t="str">
        <f>IF(T2158&lt;=1, "1",IF(AND(T2158&gt;1,T2158&lt;4), "2-3", "+4"))</f>
        <v>2-3</v>
      </c>
      <c r="V2158" s="8">
        <v>16.02</v>
      </c>
      <c r="W2158" s="6" t="s">
        <v>3602</v>
      </c>
    </row>
    <row r="2159" spans="1:23" x14ac:dyDescent="0.15">
      <c r="A2159" s="2" t="s">
        <v>299</v>
      </c>
      <c r="B2159" s="2" t="s">
        <v>3939</v>
      </c>
      <c r="C2159" s="2" t="s">
        <v>1034</v>
      </c>
      <c r="D2159" s="2" t="s">
        <v>643</v>
      </c>
      <c r="E2159" s="1"/>
      <c r="F2159" s="2" t="s">
        <v>374</v>
      </c>
      <c r="G2159" s="2" t="s">
        <v>374</v>
      </c>
      <c r="H2159" s="2" t="str">
        <f t="shared" si="73"/>
        <v>C</v>
      </c>
      <c r="I2159" s="5">
        <v>14.4</v>
      </c>
      <c r="J2159" s="5">
        <v>375.9</v>
      </c>
      <c r="K2159" s="5"/>
      <c r="L2159" s="5">
        <v>1</v>
      </c>
      <c r="M2159" s="5" t="s">
        <v>571</v>
      </c>
      <c r="N2159" s="5">
        <v>48</v>
      </c>
      <c r="O2159" s="5">
        <v>28</v>
      </c>
      <c r="P2159" s="5">
        <v>33.5</v>
      </c>
      <c r="Q2159" s="2" t="s">
        <v>18</v>
      </c>
      <c r="R2159" s="5">
        <v>33.5</v>
      </c>
      <c r="S2159" s="5">
        <v>8.91</v>
      </c>
      <c r="T2159" s="12"/>
      <c r="U2159" s="12"/>
      <c r="V2159" s="5"/>
      <c r="W2159" s="6" t="s">
        <v>2641</v>
      </c>
    </row>
    <row r="2160" spans="1:23" ht="12.75" customHeight="1" x14ac:dyDescent="0.15">
      <c r="A2160" s="2" t="s">
        <v>299</v>
      </c>
      <c r="B2160" s="2" t="s">
        <v>3939</v>
      </c>
      <c r="C2160" s="2" t="s">
        <v>3522</v>
      </c>
      <c r="D2160" s="2" t="s">
        <v>643</v>
      </c>
      <c r="E2160" s="1"/>
      <c r="F2160" s="2" t="s">
        <v>374</v>
      </c>
      <c r="G2160" s="2" t="s">
        <v>374</v>
      </c>
      <c r="H2160" s="2" t="str">
        <f t="shared" si="73"/>
        <v>C</v>
      </c>
      <c r="I2160" s="5"/>
      <c r="J2160" s="5"/>
      <c r="K2160" s="5"/>
      <c r="L2160" s="5">
        <v>1</v>
      </c>
      <c r="M2160" s="2" t="s">
        <v>571</v>
      </c>
      <c r="N2160" s="5">
        <v>44.8</v>
      </c>
      <c r="O2160" s="5">
        <v>28.1</v>
      </c>
      <c r="P2160" s="5">
        <v>21.8</v>
      </c>
      <c r="Q2160" s="2" t="s">
        <v>18</v>
      </c>
      <c r="R2160" s="5">
        <v>21.8</v>
      </c>
      <c r="S2160" s="5"/>
      <c r="T2160" s="9">
        <f>MEDIAN(1,6)</f>
        <v>3.5</v>
      </c>
      <c r="U2160" s="2" t="str">
        <f>IF(T2160&lt;=1, "1",IF(AND(T2160&gt;1,T2160&lt;4), "2-3", "+4"))</f>
        <v>2-3</v>
      </c>
      <c r="V2160" s="5"/>
      <c r="W2160" s="6" t="s">
        <v>2645</v>
      </c>
    </row>
    <row r="2161" spans="1:23" ht="12.75" customHeight="1" x14ac:dyDescent="0.15">
      <c r="A2161" s="2" t="s">
        <v>299</v>
      </c>
      <c r="B2161" s="2" t="s">
        <v>3939</v>
      </c>
      <c r="C2161" s="2" t="s">
        <v>3522</v>
      </c>
      <c r="D2161" s="2" t="s">
        <v>643</v>
      </c>
      <c r="E2161" s="1"/>
      <c r="F2161" s="2" t="s">
        <v>374</v>
      </c>
      <c r="G2161" s="2" t="s">
        <v>374</v>
      </c>
      <c r="H2161" s="2" t="str">
        <f t="shared" si="73"/>
        <v>C</v>
      </c>
      <c r="I2161" s="5">
        <v>14.5</v>
      </c>
      <c r="J2161" s="5">
        <v>400</v>
      </c>
      <c r="K2161" s="5"/>
      <c r="L2161" s="5">
        <v>1</v>
      </c>
      <c r="M2161" s="2" t="s">
        <v>571</v>
      </c>
      <c r="N2161" s="5">
        <v>46.8</v>
      </c>
      <c r="O2161" s="5">
        <v>26.6</v>
      </c>
      <c r="P2161" s="5">
        <v>20.2</v>
      </c>
      <c r="Q2161" s="2" t="s">
        <v>18</v>
      </c>
      <c r="R2161" s="5">
        <v>20.2</v>
      </c>
      <c r="S2161" s="5">
        <v>5.05</v>
      </c>
      <c r="T2161" s="9">
        <f>MEDIAN(2,4)</f>
        <v>3</v>
      </c>
      <c r="U2161" s="2" t="str">
        <f>IF(T2161&lt;=1, "1",IF(AND(T2161&gt;1,T2161&lt;4), "2-3", "+4"))</f>
        <v>2-3</v>
      </c>
      <c r="V2161" s="33">
        <f>T2161*S2161</f>
        <v>15.149999999999999</v>
      </c>
      <c r="W2161" s="6" t="s">
        <v>2645</v>
      </c>
    </row>
    <row r="2162" spans="1:23" ht="12.75" customHeight="1" x14ac:dyDescent="0.15">
      <c r="A2162" s="2" t="s">
        <v>299</v>
      </c>
      <c r="B2162" s="2" t="s">
        <v>3939</v>
      </c>
      <c r="C2162" s="2" t="s">
        <v>1034</v>
      </c>
      <c r="D2162" s="2" t="s">
        <v>643</v>
      </c>
      <c r="E2162" s="1"/>
      <c r="F2162" s="2" t="s">
        <v>374</v>
      </c>
      <c r="G2162" s="2" t="s">
        <v>374</v>
      </c>
      <c r="H2162" s="2" t="str">
        <f t="shared" si="73"/>
        <v>C</v>
      </c>
      <c r="I2162" s="5">
        <f>(EXP((LN(J2162/0.000001921))/3.8314))/10</f>
        <v>14.692936883151395</v>
      </c>
      <c r="J2162" s="5">
        <v>386</v>
      </c>
      <c r="K2162" s="5"/>
      <c r="L2162" s="5">
        <v>1.1599999999999999</v>
      </c>
      <c r="M2162" s="5" t="s">
        <v>571</v>
      </c>
      <c r="N2162" s="5">
        <v>43</v>
      </c>
      <c r="O2162" s="5">
        <v>19.2</v>
      </c>
      <c r="P2162" s="5">
        <v>22.3</v>
      </c>
      <c r="Q2162" s="2" t="s">
        <v>18</v>
      </c>
      <c r="R2162" s="5">
        <v>23.64</v>
      </c>
      <c r="S2162" s="5">
        <v>5.4</v>
      </c>
      <c r="T2162" s="7">
        <f>MEDIAN(2,3)</f>
        <v>2.5</v>
      </c>
      <c r="U2162" s="2" t="str">
        <f>IF(T2162&lt;=1, "1",IF(AND(T2162&gt;1,T2162&lt;4), "2-3", "+4"))</f>
        <v>2-3</v>
      </c>
      <c r="V2162" s="33">
        <f>T2162*S2162</f>
        <v>13.5</v>
      </c>
      <c r="W2162" s="6" t="s">
        <v>2189</v>
      </c>
    </row>
    <row r="2163" spans="1:23" ht="12.75" customHeight="1" x14ac:dyDescent="0.15">
      <c r="A2163" s="2" t="s">
        <v>299</v>
      </c>
      <c r="B2163" s="2" t="s">
        <v>3939</v>
      </c>
      <c r="C2163" s="2" t="s">
        <v>1034</v>
      </c>
      <c r="D2163" s="2" t="s">
        <v>643</v>
      </c>
      <c r="E2163" s="1"/>
      <c r="F2163" s="2" t="s">
        <v>374</v>
      </c>
      <c r="G2163" s="2" t="s">
        <v>374</v>
      </c>
      <c r="H2163" s="2" t="str">
        <f t="shared" si="73"/>
        <v>C</v>
      </c>
      <c r="I2163" s="5">
        <v>18</v>
      </c>
      <c r="J2163" s="5">
        <v>500</v>
      </c>
      <c r="K2163" s="5"/>
      <c r="L2163" s="5">
        <v>1</v>
      </c>
      <c r="M2163" s="5" t="s">
        <v>571</v>
      </c>
      <c r="N2163" s="5"/>
      <c r="O2163" s="5"/>
      <c r="P2163" s="5"/>
      <c r="R2163" s="5"/>
      <c r="S2163" s="5"/>
      <c r="T2163" s="2">
        <v>4</v>
      </c>
      <c r="U2163" s="2" t="str">
        <f>IF(T2163&lt;=1, "1",IF(AND(T2163&gt;1,T2163&lt;4), "2-3", "+4"))</f>
        <v>+4</v>
      </c>
      <c r="V2163" s="5"/>
      <c r="W2163" s="6" t="s">
        <v>2644</v>
      </c>
    </row>
    <row r="2164" spans="1:23" ht="12.75" customHeight="1" x14ac:dyDescent="0.15">
      <c r="A2164" s="2" t="s">
        <v>299</v>
      </c>
      <c r="B2164" s="2" t="s">
        <v>3939</v>
      </c>
      <c r="C2164" s="2" t="s">
        <v>1034</v>
      </c>
      <c r="D2164" s="2" t="s">
        <v>643</v>
      </c>
      <c r="E2164" s="1"/>
      <c r="F2164" s="2" t="s">
        <v>4124</v>
      </c>
      <c r="G2164" s="2">
        <v>-1.68</v>
      </c>
      <c r="H2164" s="2" t="str">
        <f t="shared" si="73"/>
        <v>W</v>
      </c>
      <c r="I2164" s="5">
        <v>14.55</v>
      </c>
      <c r="J2164" s="5">
        <v>380</v>
      </c>
      <c r="K2164" s="5">
        <v>8</v>
      </c>
      <c r="L2164" s="5">
        <v>1</v>
      </c>
      <c r="M2164" s="5" t="s">
        <v>571</v>
      </c>
      <c r="N2164" s="5">
        <v>44</v>
      </c>
      <c r="O2164" s="5">
        <v>27</v>
      </c>
      <c r="P2164" s="5">
        <v>17</v>
      </c>
      <c r="Q2164" s="2" t="s">
        <v>18</v>
      </c>
      <c r="R2164" s="5">
        <v>17</v>
      </c>
      <c r="S2164" s="5">
        <v>4.47</v>
      </c>
      <c r="T2164" s="2">
        <v>1</v>
      </c>
      <c r="U2164" s="2">
        <v>1</v>
      </c>
      <c r="V2164" s="5">
        <v>4.47</v>
      </c>
      <c r="W2164" s="6" t="s">
        <v>4125</v>
      </c>
    </row>
    <row r="2165" spans="1:23" x14ac:dyDescent="0.15">
      <c r="A2165" s="2" t="s">
        <v>299</v>
      </c>
      <c r="B2165" s="2" t="s">
        <v>3939</v>
      </c>
      <c r="C2165" s="2" t="s">
        <v>1034</v>
      </c>
      <c r="D2165" s="2" t="s">
        <v>643</v>
      </c>
      <c r="E2165" s="1"/>
      <c r="F2165" s="2" t="s">
        <v>374</v>
      </c>
      <c r="G2165" s="2" t="s">
        <v>374</v>
      </c>
      <c r="H2165" s="2" t="str">
        <f t="shared" si="73"/>
        <v>C</v>
      </c>
      <c r="I2165" s="5">
        <v>14.7</v>
      </c>
      <c r="J2165" s="5">
        <v>367.5</v>
      </c>
      <c r="K2165" s="5"/>
      <c r="L2165" s="5">
        <v>1</v>
      </c>
      <c r="M2165" s="2" t="s">
        <v>571</v>
      </c>
      <c r="N2165" s="5">
        <v>40.75</v>
      </c>
      <c r="O2165" s="5">
        <v>36.5</v>
      </c>
      <c r="P2165" s="5">
        <v>12.33</v>
      </c>
      <c r="Q2165" s="2" t="s">
        <v>18</v>
      </c>
      <c r="R2165" s="5">
        <v>12.33</v>
      </c>
      <c r="S2165" s="5">
        <v>3.36</v>
      </c>
      <c r="V2165" s="5"/>
      <c r="W2165" s="6" t="s">
        <v>2638</v>
      </c>
    </row>
    <row r="2166" spans="1:23" x14ac:dyDescent="0.15">
      <c r="A2166" s="2" t="s">
        <v>299</v>
      </c>
      <c r="B2166" s="2" t="s">
        <v>3939</v>
      </c>
      <c r="C2166" s="2" t="s">
        <v>1034</v>
      </c>
      <c r="D2166" s="2" t="s">
        <v>643</v>
      </c>
      <c r="E2166" s="1"/>
      <c r="F2166" s="2" t="s">
        <v>374</v>
      </c>
      <c r="G2166" s="2" t="s">
        <v>374</v>
      </c>
      <c r="H2166" s="2" t="str">
        <f t="shared" si="73"/>
        <v>C</v>
      </c>
      <c r="I2166" s="5">
        <v>17.7</v>
      </c>
      <c r="J2166" s="5">
        <v>505.5</v>
      </c>
      <c r="K2166" s="7"/>
      <c r="L2166" s="7">
        <v>1</v>
      </c>
      <c r="M2166" s="2" t="s">
        <v>571</v>
      </c>
      <c r="N2166" s="5">
        <v>51.5</v>
      </c>
      <c r="O2166" s="5">
        <v>23.5</v>
      </c>
      <c r="P2166" s="5">
        <v>26</v>
      </c>
      <c r="Q2166" s="2" t="s">
        <v>18</v>
      </c>
      <c r="R2166" s="5">
        <v>26</v>
      </c>
      <c r="S2166" s="5">
        <v>5.14</v>
      </c>
      <c r="T2166" s="9" t="s">
        <v>372</v>
      </c>
      <c r="U2166" s="40" t="s">
        <v>395</v>
      </c>
      <c r="V2166" s="5"/>
      <c r="W2166" s="6" t="s">
        <v>2637</v>
      </c>
    </row>
    <row r="2167" spans="1:23" x14ac:dyDescent="0.15">
      <c r="A2167" s="2" t="s">
        <v>299</v>
      </c>
      <c r="B2167" s="2" t="s">
        <v>3939</v>
      </c>
      <c r="C2167" s="2" t="s">
        <v>1034</v>
      </c>
      <c r="D2167" s="2" t="s">
        <v>643</v>
      </c>
      <c r="E2167" s="1"/>
      <c r="F2167" s="2" t="s">
        <v>374</v>
      </c>
      <c r="G2167" s="2" t="s">
        <v>374</v>
      </c>
      <c r="H2167" s="2" t="str">
        <f t="shared" si="73"/>
        <v>C</v>
      </c>
      <c r="I2167" s="5"/>
      <c r="J2167" s="5"/>
      <c r="K2167" s="5"/>
      <c r="L2167" s="7">
        <f>MEDIAN(1,2)</f>
        <v>1.5</v>
      </c>
      <c r="M2167" s="2" t="s">
        <v>571</v>
      </c>
      <c r="N2167" s="5">
        <f>MEDIAN(30,50)</f>
        <v>40</v>
      </c>
      <c r="O2167" s="5">
        <f>MEDIAN(16,38)</f>
        <v>27</v>
      </c>
      <c r="P2167" s="5">
        <v>25</v>
      </c>
      <c r="Q2167" s="2" t="s">
        <v>18</v>
      </c>
      <c r="R2167" s="5">
        <f>P2167*L2167</f>
        <v>37.5</v>
      </c>
      <c r="S2167" s="5"/>
      <c r="V2167" s="5"/>
      <c r="W2167" s="6" t="s">
        <v>2636</v>
      </c>
    </row>
    <row r="2168" spans="1:23" x14ac:dyDescent="0.15">
      <c r="A2168" s="2" t="s">
        <v>299</v>
      </c>
      <c r="B2168" s="2" t="s">
        <v>3939</v>
      </c>
      <c r="C2168" s="2" t="s">
        <v>1034</v>
      </c>
      <c r="D2168" s="2" t="s">
        <v>643</v>
      </c>
      <c r="E2168" s="1"/>
      <c r="F2168" s="2" t="s">
        <v>644</v>
      </c>
      <c r="G2168" s="2" t="s">
        <v>374</v>
      </c>
      <c r="H2168" s="2" t="str">
        <f t="shared" si="73"/>
        <v>C</v>
      </c>
      <c r="I2168" s="5">
        <v>15.75</v>
      </c>
      <c r="J2168" s="5">
        <f xml:space="preserve"> 0.000001921*((I2168*10)^3.8314)</f>
        <v>503.71872482620171</v>
      </c>
      <c r="K2168" s="5"/>
      <c r="L2168" s="7">
        <v>1.083</v>
      </c>
      <c r="M2168" s="2" t="s">
        <v>571</v>
      </c>
      <c r="N2168" s="7">
        <v>43.222000000000001</v>
      </c>
      <c r="O2168" s="7">
        <v>27.94</v>
      </c>
      <c r="P2168" s="5">
        <v>13.92</v>
      </c>
      <c r="Q2168" s="2" t="s">
        <v>18</v>
      </c>
      <c r="R2168" s="5">
        <v>15.08</v>
      </c>
      <c r="S2168" s="5">
        <f>(R2168/J2168)*100</f>
        <v>2.9937342522263908</v>
      </c>
      <c r="T2168" s="2">
        <v>2</v>
      </c>
      <c r="U2168" s="2" t="str">
        <f>IF(T2168&lt;=1, "1",IF(AND(T2168&gt;1,T2168&lt;4), "2-3", "+4"))</f>
        <v>2-3</v>
      </c>
      <c r="V2168" s="5">
        <f>S2168*T2168</f>
        <v>5.9874685044527816</v>
      </c>
      <c r="W2168" s="6" t="s">
        <v>2640</v>
      </c>
    </row>
    <row r="2169" spans="1:23" x14ac:dyDescent="0.15">
      <c r="A2169" s="2" t="s">
        <v>299</v>
      </c>
      <c r="B2169" s="2" t="s">
        <v>3939</v>
      </c>
      <c r="C2169" s="2" t="s">
        <v>1034</v>
      </c>
      <c r="D2169" s="2" t="s">
        <v>643</v>
      </c>
      <c r="E2169" s="1"/>
      <c r="F2169" s="2" t="s">
        <v>644</v>
      </c>
      <c r="G2169" s="2">
        <v>-7.77</v>
      </c>
      <c r="H2169" s="2" t="str">
        <f t="shared" si="73"/>
        <v>W</v>
      </c>
      <c r="I2169" s="5">
        <v>14.07</v>
      </c>
      <c r="J2169" s="5">
        <v>316.39999999999998</v>
      </c>
      <c r="K2169" s="5"/>
      <c r="L2169" s="7">
        <v>1</v>
      </c>
      <c r="M2169" s="2" t="s">
        <v>571</v>
      </c>
      <c r="N2169" s="7">
        <v>40.700000000000003</v>
      </c>
      <c r="O2169" s="7">
        <v>30.6</v>
      </c>
      <c r="P2169" s="5">
        <v>16</v>
      </c>
      <c r="Q2169" s="2" t="s">
        <v>18</v>
      </c>
      <c r="R2169" s="5">
        <v>16</v>
      </c>
      <c r="S2169" s="5">
        <v>5.0599999999999996</v>
      </c>
      <c r="V2169" s="5"/>
      <c r="W2169" s="6" t="s">
        <v>2639</v>
      </c>
    </row>
    <row r="2170" spans="1:23" x14ac:dyDescent="0.15">
      <c r="A2170" s="2" t="s">
        <v>299</v>
      </c>
      <c r="B2170" s="2" t="s">
        <v>3939</v>
      </c>
      <c r="C2170" s="2" t="s">
        <v>1034</v>
      </c>
      <c r="D2170" s="2" t="s">
        <v>643</v>
      </c>
      <c r="E2170" s="1"/>
      <c r="F2170" s="2" t="s">
        <v>374</v>
      </c>
      <c r="G2170" s="2" t="s">
        <v>374</v>
      </c>
      <c r="H2170" s="2" t="str">
        <f t="shared" si="73"/>
        <v>C</v>
      </c>
      <c r="I2170" s="5"/>
      <c r="J2170" s="5"/>
      <c r="K2170" s="5"/>
      <c r="L2170" s="5">
        <v>1</v>
      </c>
      <c r="M2170" s="5" t="s">
        <v>571</v>
      </c>
      <c r="N2170" s="5">
        <v>46.61</v>
      </c>
      <c r="O2170" s="5">
        <v>28.94</v>
      </c>
      <c r="P2170" s="5">
        <v>23.43</v>
      </c>
      <c r="Q2170" s="2" t="s">
        <v>18</v>
      </c>
      <c r="R2170" s="5">
        <v>23.43</v>
      </c>
      <c r="S2170" s="5"/>
      <c r="T2170" s="12"/>
      <c r="U2170" s="12"/>
      <c r="V2170" s="5"/>
      <c r="W2170" s="6" t="s">
        <v>2642</v>
      </c>
    </row>
    <row r="2171" spans="1:23" ht="12.75" customHeight="1" x14ac:dyDescent="0.15">
      <c r="A2171" s="2" t="s">
        <v>299</v>
      </c>
      <c r="B2171" s="2" t="s">
        <v>3939</v>
      </c>
      <c r="C2171" s="2" t="s">
        <v>1034</v>
      </c>
      <c r="D2171" s="2" t="s">
        <v>643</v>
      </c>
      <c r="E2171" s="1"/>
      <c r="F2171" s="2" t="s">
        <v>374</v>
      </c>
      <c r="G2171" s="2" t="s">
        <v>374</v>
      </c>
      <c r="H2171" s="2" t="str">
        <f t="shared" si="73"/>
        <v>C</v>
      </c>
      <c r="I2171" s="5"/>
      <c r="J2171" s="5"/>
      <c r="K2171" s="5">
        <v>5</v>
      </c>
      <c r="L2171" s="7">
        <f>MEDIAN(1,5)</f>
        <v>3</v>
      </c>
      <c r="M2171" s="2" t="s">
        <v>571</v>
      </c>
      <c r="N2171" s="5">
        <v>41</v>
      </c>
      <c r="O2171" s="5">
        <v>24</v>
      </c>
      <c r="P2171" s="5"/>
      <c r="R2171" s="5"/>
      <c r="S2171" s="5"/>
      <c r="V2171" s="5"/>
      <c r="W2171" s="6" t="s">
        <v>2503</v>
      </c>
    </row>
    <row r="2172" spans="1:23" ht="12.75" customHeight="1" x14ac:dyDescent="0.15">
      <c r="A2172" s="2" t="s">
        <v>299</v>
      </c>
      <c r="B2172" s="2" t="s">
        <v>3939</v>
      </c>
      <c r="C2172" s="2" t="s">
        <v>1034</v>
      </c>
      <c r="D2172" s="2" t="s">
        <v>643</v>
      </c>
      <c r="E2172" s="1"/>
      <c r="F2172" s="2" t="s">
        <v>374</v>
      </c>
      <c r="G2172" s="2" t="s">
        <v>374</v>
      </c>
      <c r="H2172" s="2" t="str">
        <f t="shared" si="73"/>
        <v>C</v>
      </c>
      <c r="I2172" s="5">
        <v>14</v>
      </c>
      <c r="J2172" s="5">
        <v>390</v>
      </c>
      <c r="K2172" s="5"/>
      <c r="L2172" s="5">
        <v>1</v>
      </c>
      <c r="M2172" s="5" t="s">
        <v>571</v>
      </c>
      <c r="N2172" s="5">
        <v>43</v>
      </c>
      <c r="O2172" s="5">
        <v>28</v>
      </c>
      <c r="P2172" s="5">
        <v>19</v>
      </c>
      <c r="Q2172" s="2" t="s">
        <v>18</v>
      </c>
      <c r="R2172" s="5">
        <v>19</v>
      </c>
      <c r="S2172" s="5">
        <v>4.87</v>
      </c>
      <c r="T2172" s="2" t="s">
        <v>382</v>
      </c>
      <c r="U2172" s="40" t="s">
        <v>395</v>
      </c>
      <c r="V2172" s="5"/>
      <c r="W2172" s="6" t="s">
        <v>2643</v>
      </c>
    </row>
    <row r="2173" spans="1:23" ht="12.75" customHeight="1" x14ac:dyDescent="0.15">
      <c r="A2173" s="2" t="s">
        <v>299</v>
      </c>
      <c r="B2173" s="2" t="s">
        <v>3938</v>
      </c>
      <c r="C2173" s="2" t="s">
        <v>3523</v>
      </c>
      <c r="D2173" s="2" t="s">
        <v>813</v>
      </c>
      <c r="E2173" s="1" t="s">
        <v>3820</v>
      </c>
      <c r="F2173" s="2" t="s">
        <v>2241</v>
      </c>
      <c r="G2173" s="2">
        <v>5</v>
      </c>
      <c r="H2173" s="2" t="str">
        <f t="shared" si="73"/>
        <v>W</v>
      </c>
      <c r="I2173" s="5">
        <v>44</v>
      </c>
      <c r="J2173" s="5">
        <f>(0.000472*I2173^2.7577)*1000</f>
        <v>16072.796444630434</v>
      </c>
      <c r="K2173" s="5"/>
      <c r="L2173" s="5"/>
      <c r="M2173" s="2" t="s">
        <v>571</v>
      </c>
      <c r="N2173" s="5"/>
      <c r="O2173" s="5"/>
      <c r="P2173" s="5"/>
      <c r="R2173" s="5"/>
      <c r="S2173" s="5"/>
      <c r="T2173" s="9"/>
      <c r="U2173" s="9"/>
      <c r="V2173" s="5"/>
      <c r="W2173" s="6" t="s">
        <v>2634</v>
      </c>
    </row>
    <row r="2174" spans="1:23" x14ac:dyDescent="0.15">
      <c r="A2174" s="2" t="s">
        <v>299</v>
      </c>
      <c r="B2174" s="2" t="s">
        <v>3938</v>
      </c>
      <c r="C2174" s="2" t="s">
        <v>3523</v>
      </c>
      <c r="D2174" s="2" t="s">
        <v>813</v>
      </c>
      <c r="E2174" s="1"/>
      <c r="F2174" s="2" t="s">
        <v>374</v>
      </c>
      <c r="G2174" s="2" t="s">
        <v>374</v>
      </c>
      <c r="H2174" s="2" t="str">
        <f t="shared" si="73"/>
        <v>C</v>
      </c>
      <c r="I2174" s="5">
        <f xml:space="preserve"> EXP(LN((J2174/1000)/0.000472)/2.7577)</f>
        <v>52.383878008545295</v>
      </c>
      <c r="J2174" s="5">
        <v>26000</v>
      </c>
      <c r="K2174" s="5"/>
      <c r="L2174" s="5">
        <v>40.33</v>
      </c>
      <c r="M2174" s="2" t="s">
        <v>571</v>
      </c>
      <c r="N2174" s="5">
        <v>53</v>
      </c>
      <c r="O2174" s="5">
        <v>49</v>
      </c>
      <c r="P2174" s="5">
        <f>MEDIAN(55,62)</f>
        <v>58.5</v>
      </c>
      <c r="Q2174" s="2" t="s">
        <v>18</v>
      </c>
      <c r="R2174" s="5">
        <v>2359.3000000000002</v>
      </c>
      <c r="S2174" s="5">
        <v>9.07</v>
      </c>
      <c r="T2174" s="9">
        <v>1</v>
      </c>
      <c r="U2174" s="2" t="str">
        <f>IF(T2174&lt;=1, "1",IF(AND(T2174&gt;1,T2174&lt;4), "2-3", "+4"))</f>
        <v>1</v>
      </c>
      <c r="V2174" s="5">
        <f>S2174*T2174</f>
        <v>9.07</v>
      </c>
      <c r="W2174" s="6" t="s">
        <v>2635</v>
      </c>
    </row>
    <row r="2175" spans="1:23" ht="12.75" customHeight="1" x14ac:dyDescent="0.15">
      <c r="A2175" s="2" t="s">
        <v>299</v>
      </c>
      <c r="B2175" s="2" t="s">
        <v>3938</v>
      </c>
      <c r="C2175" s="2" t="s">
        <v>3523</v>
      </c>
      <c r="D2175" s="2" t="s">
        <v>813</v>
      </c>
      <c r="F2175" s="2" t="s">
        <v>374</v>
      </c>
      <c r="G2175" s="2" t="s">
        <v>374</v>
      </c>
      <c r="H2175" s="2" t="str">
        <f t="shared" si="73"/>
        <v>C</v>
      </c>
      <c r="I2175" s="5">
        <v>50</v>
      </c>
      <c r="J2175" s="5">
        <v>15200</v>
      </c>
      <c r="K2175" s="5"/>
      <c r="L2175" s="5">
        <v>34</v>
      </c>
      <c r="M2175" s="2" t="s">
        <v>571</v>
      </c>
      <c r="N2175" s="5">
        <v>49.35</v>
      </c>
      <c r="O2175" s="5">
        <v>46.05</v>
      </c>
      <c r="P2175" s="5">
        <v>56.03</v>
      </c>
      <c r="Q2175" s="2" t="s">
        <v>18</v>
      </c>
      <c r="R2175" s="5">
        <v>1905</v>
      </c>
      <c r="S2175" s="5">
        <v>12.532999999999999</v>
      </c>
      <c r="V2175" s="5"/>
      <c r="W2175" s="6" t="s">
        <v>3954</v>
      </c>
    </row>
    <row r="2176" spans="1:23" ht="12.75" customHeight="1" x14ac:dyDescent="0.15">
      <c r="A2176" s="2" t="s">
        <v>299</v>
      </c>
      <c r="B2176" s="2" t="s">
        <v>3938</v>
      </c>
      <c r="C2176" s="2" t="s">
        <v>3523</v>
      </c>
      <c r="D2176" s="2" t="s">
        <v>813</v>
      </c>
      <c r="E2176" s="1"/>
      <c r="F2176" s="2" t="s">
        <v>374</v>
      </c>
      <c r="G2176" s="2">
        <v>19</v>
      </c>
      <c r="H2176" s="2" t="str">
        <f t="shared" si="73"/>
        <v>W</v>
      </c>
      <c r="I2176" s="5">
        <v>54</v>
      </c>
      <c r="J2176" s="5">
        <v>30000</v>
      </c>
      <c r="K2176" s="5"/>
      <c r="L2176" s="5">
        <v>39</v>
      </c>
      <c r="M2176" s="2" t="s">
        <v>571</v>
      </c>
      <c r="N2176" s="5">
        <v>52.5</v>
      </c>
      <c r="O2176" s="5"/>
      <c r="P2176" s="5">
        <v>73.400000000000006</v>
      </c>
      <c r="Q2176" s="2" t="s">
        <v>18</v>
      </c>
      <c r="R2176" s="5">
        <f>P2176*L2176</f>
        <v>2862.6000000000004</v>
      </c>
      <c r="S2176" s="5">
        <f>(R2176/J2176)*100</f>
        <v>9.5420000000000016</v>
      </c>
      <c r="V2176" s="5"/>
      <c r="W2176" s="6" t="s">
        <v>2113</v>
      </c>
    </row>
    <row r="2177" spans="1:23" x14ac:dyDescent="0.15">
      <c r="A2177" s="2" t="s">
        <v>299</v>
      </c>
      <c r="B2177" s="2" t="s">
        <v>3938</v>
      </c>
      <c r="C2177" s="2" t="s">
        <v>3523</v>
      </c>
      <c r="D2177" s="2" t="s">
        <v>813</v>
      </c>
      <c r="E2177" s="1"/>
      <c r="F2177" s="2" t="s">
        <v>204</v>
      </c>
      <c r="H2177" s="2" t="s">
        <v>3887</v>
      </c>
      <c r="I2177" s="5"/>
      <c r="J2177" s="5"/>
      <c r="K2177" s="5"/>
      <c r="L2177" s="7"/>
      <c r="M2177" s="2" t="s">
        <v>571</v>
      </c>
      <c r="N2177" s="5">
        <v>50</v>
      </c>
      <c r="O2177" s="5">
        <v>43</v>
      </c>
      <c r="P2177" s="5">
        <f xml:space="preserve"> 1.435*N2177 + 1.607*O2177 - 84.568</f>
        <v>56.283000000000001</v>
      </c>
      <c r="Q2177" s="2" t="s">
        <v>376</v>
      </c>
      <c r="R2177" s="5"/>
      <c r="S2177" s="5"/>
      <c r="V2177" s="5"/>
      <c r="W2177" s="6" t="s">
        <v>2975</v>
      </c>
    </row>
    <row r="2178" spans="1:23" ht="12.75" customHeight="1" x14ac:dyDescent="0.15">
      <c r="A2178" s="2" t="s">
        <v>299</v>
      </c>
      <c r="B2178" s="2" t="s">
        <v>3938</v>
      </c>
      <c r="C2178" s="2" t="s">
        <v>3523</v>
      </c>
      <c r="D2178" s="2" t="s">
        <v>441</v>
      </c>
      <c r="E2178" s="1"/>
      <c r="F2178" s="2" t="s">
        <v>374</v>
      </c>
      <c r="G2178" s="2" t="s">
        <v>374</v>
      </c>
      <c r="H2178" s="2" t="str">
        <f t="shared" si="73"/>
        <v>C</v>
      </c>
      <c r="I2178" s="5">
        <v>28</v>
      </c>
      <c r="J2178" s="5">
        <f xml:space="preserve"> 1.79143*I2178^2.3035</f>
        <v>3861.2539715026992</v>
      </c>
      <c r="K2178" s="5"/>
      <c r="L2178" s="5">
        <v>17</v>
      </c>
      <c r="M2178" s="2" t="s">
        <v>571</v>
      </c>
      <c r="N2178" s="5"/>
      <c r="O2178" s="5"/>
      <c r="P2178" s="5"/>
      <c r="R2178" s="5"/>
      <c r="S2178" s="5"/>
      <c r="V2178" s="5"/>
      <c r="W2178" s="6" t="s">
        <v>2633</v>
      </c>
    </row>
    <row r="2179" spans="1:23" x14ac:dyDescent="0.15">
      <c r="A2179" s="2" t="s">
        <v>299</v>
      </c>
      <c r="B2179" s="2" t="s">
        <v>3938</v>
      </c>
      <c r="C2179" s="2" t="s">
        <v>3523</v>
      </c>
      <c r="D2179" s="2" t="s">
        <v>441</v>
      </c>
      <c r="E2179" s="1"/>
      <c r="F2179" s="2" t="s">
        <v>371</v>
      </c>
      <c r="G2179" s="2">
        <v>5</v>
      </c>
      <c r="H2179" s="2" t="str">
        <f t="shared" ref="H2179:H2243" si="74">IF(G2179="captive","C","W")</f>
        <v>W</v>
      </c>
      <c r="I2179" s="5"/>
      <c r="J2179" s="5"/>
      <c r="K2179" s="5"/>
      <c r="L2179" s="5">
        <f>MEDIAN(17,20)</f>
        <v>18.5</v>
      </c>
      <c r="M2179" s="2" t="s">
        <v>571</v>
      </c>
      <c r="N2179" s="5"/>
      <c r="O2179" s="5"/>
      <c r="P2179" s="5">
        <v>39</v>
      </c>
      <c r="Q2179" s="2" t="s">
        <v>18</v>
      </c>
      <c r="R2179" s="5">
        <f>P2179*L2179</f>
        <v>721.5</v>
      </c>
      <c r="S2179" s="5"/>
      <c r="V2179" s="5"/>
      <c r="W2179" s="6" t="s">
        <v>2114</v>
      </c>
    </row>
    <row r="2180" spans="1:23" ht="12.75" customHeight="1" x14ac:dyDescent="0.15">
      <c r="A2180" s="2" t="s">
        <v>299</v>
      </c>
      <c r="B2180" s="2" t="s">
        <v>3938</v>
      </c>
      <c r="C2180" s="2" t="s">
        <v>3523</v>
      </c>
      <c r="D2180" s="2" t="s">
        <v>441</v>
      </c>
      <c r="E2180" s="1"/>
      <c r="F2180" s="2" t="s">
        <v>442</v>
      </c>
      <c r="H2180" s="2" t="s">
        <v>3887</v>
      </c>
      <c r="I2180" s="5">
        <v>30.8</v>
      </c>
      <c r="J2180" s="5">
        <f xml:space="preserve"> 1.79143*I2180^2.3035</f>
        <v>4809.2396417468553</v>
      </c>
      <c r="K2180" s="5"/>
      <c r="L2180" s="5">
        <v>20</v>
      </c>
      <c r="M2180" s="2" t="s">
        <v>571</v>
      </c>
      <c r="N2180" s="5">
        <v>44</v>
      </c>
      <c r="O2180" s="5">
        <v>40</v>
      </c>
      <c r="P2180" s="5">
        <v>39</v>
      </c>
      <c r="Q2180" s="2" t="s">
        <v>18</v>
      </c>
      <c r="R2180" s="5">
        <v>780</v>
      </c>
      <c r="S2180" s="5">
        <f>(R2180/J2180)*100</f>
        <v>16.218780058892666</v>
      </c>
      <c r="T2180" s="12"/>
      <c r="U2180" s="12"/>
      <c r="V2180" s="5"/>
      <c r="W2180" s="6" t="s">
        <v>2426</v>
      </c>
    </row>
    <row r="2181" spans="1:23" ht="12.75" customHeight="1" x14ac:dyDescent="0.15">
      <c r="A2181" s="2" t="s">
        <v>299</v>
      </c>
      <c r="B2181" s="2" t="s">
        <v>3939</v>
      </c>
      <c r="C2181" s="2" t="s">
        <v>1036</v>
      </c>
      <c r="D2181" s="2" t="s">
        <v>425</v>
      </c>
      <c r="E2181" s="1"/>
      <c r="F2181" s="2" t="s">
        <v>304</v>
      </c>
      <c r="G2181" s="2">
        <v>-33.479999999999997</v>
      </c>
      <c r="H2181" s="2" t="str">
        <f t="shared" si="74"/>
        <v>W</v>
      </c>
      <c r="I2181" s="5">
        <v>12.41</v>
      </c>
      <c r="J2181" s="5">
        <v>420</v>
      </c>
      <c r="K2181" s="7">
        <f>MEDIAN(5,6)</f>
        <v>5.5</v>
      </c>
      <c r="L2181" s="5">
        <v>2.67</v>
      </c>
      <c r="M2181" s="2" t="s">
        <v>571</v>
      </c>
      <c r="N2181" s="5">
        <v>28.25</v>
      </c>
      <c r="O2181" s="5">
        <v>24.25</v>
      </c>
      <c r="P2181" s="5">
        <v>9.6199999999999992</v>
      </c>
      <c r="Q2181" s="2" t="s">
        <v>376</v>
      </c>
      <c r="R2181" s="5">
        <v>25.85</v>
      </c>
      <c r="S2181" s="5">
        <v>6.15</v>
      </c>
      <c r="T2181" s="2" t="s">
        <v>893</v>
      </c>
      <c r="U2181" s="40" t="s">
        <v>4047</v>
      </c>
      <c r="V2181" s="5"/>
      <c r="W2181" s="6" t="s">
        <v>3284</v>
      </c>
    </row>
    <row r="2182" spans="1:23" ht="12.75" customHeight="1" x14ac:dyDescent="0.15">
      <c r="A2182" s="2" t="s">
        <v>299</v>
      </c>
      <c r="B2182" s="2" t="s">
        <v>3939</v>
      </c>
      <c r="C2182" s="2" t="s">
        <v>1036</v>
      </c>
      <c r="D2182" s="2" t="s">
        <v>425</v>
      </c>
      <c r="E2182" s="1"/>
      <c r="F2182" s="2" t="s">
        <v>304</v>
      </c>
      <c r="G2182" s="2">
        <v>-33.4</v>
      </c>
      <c r="H2182" s="2" t="str">
        <f t="shared" si="74"/>
        <v>W</v>
      </c>
      <c r="I2182" s="5"/>
      <c r="J2182" s="5"/>
      <c r="K2182" s="5"/>
      <c r="L2182" s="5"/>
      <c r="M2182" s="2" t="s">
        <v>571</v>
      </c>
      <c r="N2182" s="5"/>
      <c r="O2182" s="5"/>
      <c r="P2182" s="5"/>
      <c r="R2182" s="5"/>
      <c r="S2182" s="5"/>
      <c r="V2182" s="5"/>
      <c r="W2182" s="6" t="s">
        <v>2631</v>
      </c>
    </row>
    <row r="2183" spans="1:23" ht="12.75" customHeight="1" x14ac:dyDescent="0.15">
      <c r="A2183" s="2" t="s">
        <v>299</v>
      </c>
      <c r="B2183" s="2" t="s">
        <v>3939</v>
      </c>
      <c r="C2183" s="2" t="s">
        <v>1036</v>
      </c>
      <c r="D2183" s="2" t="s">
        <v>425</v>
      </c>
      <c r="E2183" s="1"/>
      <c r="F2183" s="2" t="s">
        <v>374</v>
      </c>
      <c r="G2183" s="2" t="s">
        <v>374</v>
      </c>
      <c r="H2183" s="2" t="str">
        <f t="shared" si="74"/>
        <v>C</v>
      </c>
      <c r="I2183" s="5">
        <v>13</v>
      </c>
      <c r="J2183" s="5">
        <v>501.3</v>
      </c>
      <c r="K2183" s="5"/>
      <c r="L2183" s="5">
        <v>3</v>
      </c>
      <c r="M2183" s="2" t="s">
        <v>571</v>
      </c>
      <c r="N2183" s="5">
        <v>28.4</v>
      </c>
      <c r="O2183" s="5">
        <v>23.77</v>
      </c>
      <c r="P2183" s="5">
        <v>10.417</v>
      </c>
      <c r="Q2183" s="2" t="s">
        <v>18</v>
      </c>
      <c r="R2183" s="5">
        <v>31.25</v>
      </c>
      <c r="S2183" s="5">
        <v>6.23</v>
      </c>
      <c r="T2183" s="2">
        <v>1</v>
      </c>
      <c r="U2183" s="2" t="str">
        <f>IF(T2183&lt;=1, "1",IF(AND(T2183&gt;1,T2183&lt;4), "2-3", "+4"))</f>
        <v>1</v>
      </c>
      <c r="V2183" s="5">
        <f>S2183*T2183</f>
        <v>6.23</v>
      </c>
      <c r="W2183" s="6" t="s">
        <v>2632</v>
      </c>
    </row>
    <row r="2184" spans="1:23" x14ac:dyDescent="0.15">
      <c r="A2184" s="2" t="s">
        <v>299</v>
      </c>
      <c r="B2184" s="2" t="s">
        <v>3939</v>
      </c>
      <c r="C2184" s="2" t="s">
        <v>1036</v>
      </c>
      <c r="D2184" s="2" t="s">
        <v>426</v>
      </c>
      <c r="E2184" s="1"/>
      <c r="F2184" s="2" t="s">
        <v>304</v>
      </c>
      <c r="H2184" s="2" t="s">
        <v>3887</v>
      </c>
      <c r="I2184" s="5"/>
      <c r="J2184" s="5"/>
      <c r="K2184" s="7"/>
      <c r="L2184" s="7">
        <v>1</v>
      </c>
      <c r="M2184" s="7" t="s">
        <v>571</v>
      </c>
      <c r="N2184" s="7">
        <v>40</v>
      </c>
      <c r="O2184" s="5">
        <v>30</v>
      </c>
      <c r="P2184" s="5">
        <f xml:space="preserve"> 0.537*N2184 + 1.309*O2184 - 40.389</f>
        <v>20.360999999999997</v>
      </c>
      <c r="Q2184" s="2" t="s">
        <v>376</v>
      </c>
      <c r="R2184" s="5">
        <f>P2184*L2184</f>
        <v>20.360999999999997</v>
      </c>
      <c r="S2184" s="5"/>
      <c r="T2184" s="12"/>
      <c r="U2184" s="12"/>
      <c r="V2184" s="5"/>
      <c r="W2184" s="6" t="s">
        <v>2630</v>
      </c>
    </row>
    <row r="2185" spans="1:23" x14ac:dyDescent="0.15">
      <c r="A2185" s="2" t="s">
        <v>299</v>
      </c>
      <c r="B2185" s="2" t="s">
        <v>3939</v>
      </c>
      <c r="C2185" s="2" t="s">
        <v>1036</v>
      </c>
      <c r="D2185" s="2" t="s">
        <v>426</v>
      </c>
      <c r="E2185" s="1"/>
      <c r="F2185" s="2" t="s">
        <v>304</v>
      </c>
      <c r="G2185" s="2">
        <v>-28.73</v>
      </c>
      <c r="H2185" s="2" t="str">
        <f t="shared" si="74"/>
        <v>W</v>
      </c>
      <c r="I2185" s="5"/>
      <c r="J2185" s="5"/>
      <c r="K2185" s="5"/>
      <c r="L2185" s="5">
        <v>1</v>
      </c>
      <c r="M2185" s="2" t="s">
        <v>571</v>
      </c>
      <c r="N2185" s="5">
        <v>39.5</v>
      </c>
      <c r="O2185" s="5">
        <v>31</v>
      </c>
      <c r="P2185" s="5">
        <v>21.4</v>
      </c>
      <c r="Q2185" s="2" t="s">
        <v>376</v>
      </c>
      <c r="R2185" s="5">
        <v>21.4</v>
      </c>
      <c r="S2185" s="5"/>
      <c r="V2185" s="5"/>
      <c r="W2185" s="6" t="s">
        <v>3285</v>
      </c>
    </row>
    <row r="2186" spans="1:23" x14ac:dyDescent="0.15">
      <c r="A2186" s="2" t="s">
        <v>299</v>
      </c>
      <c r="B2186" s="2" t="s">
        <v>3939</v>
      </c>
      <c r="C2186" s="2" t="s">
        <v>1036</v>
      </c>
      <c r="D2186" s="2" t="s">
        <v>426</v>
      </c>
      <c r="E2186" s="1"/>
      <c r="F2186" s="2" t="s">
        <v>304</v>
      </c>
      <c r="G2186" s="2">
        <v>-28.9</v>
      </c>
      <c r="H2186" s="2" t="str">
        <f t="shared" si="74"/>
        <v>W</v>
      </c>
      <c r="I2186" s="5"/>
      <c r="J2186" s="5"/>
      <c r="K2186" s="5">
        <v>19</v>
      </c>
      <c r="L2186" s="5"/>
      <c r="M2186" s="2" t="s">
        <v>571</v>
      </c>
      <c r="N2186" s="5"/>
      <c r="O2186" s="5"/>
      <c r="P2186" s="5"/>
      <c r="R2186" s="5"/>
      <c r="S2186" s="5"/>
      <c r="V2186" s="5"/>
      <c r="W2186" s="6" t="s">
        <v>4082</v>
      </c>
    </row>
    <row r="2187" spans="1:23" x14ac:dyDescent="0.15">
      <c r="A2187" s="2" t="s">
        <v>299</v>
      </c>
      <c r="B2187" s="2" t="s">
        <v>3939</v>
      </c>
      <c r="C2187" s="2" t="s">
        <v>1036</v>
      </c>
      <c r="D2187" s="2" t="s">
        <v>426</v>
      </c>
      <c r="E2187" s="1"/>
      <c r="F2187" s="2" t="s">
        <v>645</v>
      </c>
      <c r="H2187" s="2" t="s">
        <v>3887</v>
      </c>
      <c r="I2187" s="5"/>
      <c r="J2187" s="5"/>
      <c r="K2187" s="7"/>
      <c r="L2187" s="7">
        <v>1</v>
      </c>
      <c r="M2187" s="2" t="s">
        <v>571</v>
      </c>
      <c r="N2187" s="7">
        <v>36.29</v>
      </c>
      <c r="O2187" s="5">
        <v>29.43</v>
      </c>
      <c r="P2187" s="5">
        <f xml:space="preserve"> 0.537*N2187 + 1.309*O2187 - 40.389</f>
        <v>17.622599999999991</v>
      </c>
      <c r="Q2187" s="2" t="s">
        <v>376</v>
      </c>
      <c r="R2187" s="5">
        <f>L2187</f>
        <v>1</v>
      </c>
      <c r="S2187" s="5"/>
      <c r="V2187" s="5"/>
      <c r="W2187" s="6" t="s">
        <v>2629</v>
      </c>
    </row>
    <row r="2188" spans="1:23" x14ac:dyDescent="0.15">
      <c r="A2188" s="2" t="s">
        <v>299</v>
      </c>
      <c r="B2188" s="2" t="s">
        <v>3939</v>
      </c>
      <c r="C2188" s="2" t="s">
        <v>1036</v>
      </c>
      <c r="D2188" s="2" t="s">
        <v>426</v>
      </c>
      <c r="E2188" s="1"/>
      <c r="F2188" s="2" t="s">
        <v>646</v>
      </c>
      <c r="G2188" s="2">
        <v>-22.56</v>
      </c>
      <c r="H2188" s="2" t="str">
        <f t="shared" si="74"/>
        <v>W</v>
      </c>
      <c r="I2188" s="5"/>
      <c r="J2188" s="5"/>
      <c r="K2188" s="7"/>
      <c r="L2188" s="7">
        <v>1</v>
      </c>
      <c r="M2188" s="2" t="s">
        <v>571</v>
      </c>
      <c r="N2188" s="7">
        <v>40</v>
      </c>
      <c r="O2188" s="5">
        <v>29.5</v>
      </c>
      <c r="P2188" s="5">
        <v>21</v>
      </c>
      <c r="Q2188" s="2" t="s">
        <v>18</v>
      </c>
      <c r="R2188" s="5">
        <v>21</v>
      </c>
      <c r="S2188" s="5"/>
      <c r="V2188" s="5"/>
      <c r="W2188" s="6" t="s">
        <v>2628</v>
      </c>
    </row>
    <row r="2189" spans="1:23" x14ac:dyDescent="0.15">
      <c r="A2189" s="2" t="s">
        <v>299</v>
      </c>
      <c r="B2189" s="2" t="s">
        <v>3939</v>
      </c>
      <c r="C2189" s="2" t="s">
        <v>1036</v>
      </c>
      <c r="D2189" s="2" t="s">
        <v>435</v>
      </c>
      <c r="E2189" s="1" t="s">
        <v>3823</v>
      </c>
      <c r="F2189" s="2" t="s">
        <v>3257</v>
      </c>
      <c r="G2189" s="2">
        <v>-33</v>
      </c>
      <c r="H2189" s="2" t="str">
        <f t="shared" si="74"/>
        <v>W</v>
      </c>
      <c r="I2189" s="5">
        <v>12.5</v>
      </c>
      <c r="J2189" s="5">
        <f xml:space="preserve"> 2.572*(I2189*10) - 34.364</f>
        <v>287.13600000000002</v>
      </c>
      <c r="K2189" s="7"/>
      <c r="L2189" s="7">
        <f>MEDIAN(1,2)</f>
        <v>1.5</v>
      </c>
      <c r="M2189" s="7" t="s">
        <v>571</v>
      </c>
      <c r="N2189" s="7">
        <v>35</v>
      </c>
      <c r="O2189" s="5">
        <v>24</v>
      </c>
      <c r="P2189" s="5">
        <f xml:space="preserve"> 0.372*N2189 + 0.949*O2189 - 23.83</f>
        <v>11.966000000000001</v>
      </c>
      <c r="Q2189" s="2" t="s">
        <v>376</v>
      </c>
      <c r="R2189" s="5">
        <v>20.2</v>
      </c>
      <c r="S2189" s="5">
        <f>(R2189/J2189)*100</f>
        <v>7.0349938705003892</v>
      </c>
      <c r="T2189" s="2">
        <v>1</v>
      </c>
      <c r="U2189" s="2" t="str">
        <f>IF(T2189&lt;=1, "1",IF(AND(T2189&gt;1,T2189&lt;4), "2-3", "+4"))</f>
        <v>1</v>
      </c>
      <c r="V2189" s="5">
        <f>S2189*T2189</f>
        <v>7.0349938705003892</v>
      </c>
      <c r="W2189" s="6" t="s">
        <v>3256</v>
      </c>
    </row>
    <row r="2190" spans="1:23" x14ac:dyDescent="0.15">
      <c r="A2190" s="2" t="s">
        <v>299</v>
      </c>
      <c r="B2190" s="2" t="s">
        <v>3939</v>
      </c>
      <c r="C2190" s="2" t="s">
        <v>1036</v>
      </c>
      <c r="D2190" s="2" t="s">
        <v>435</v>
      </c>
      <c r="E2190" s="1" t="s">
        <v>434</v>
      </c>
      <c r="F2190" s="2" t="s">
        <v>304</v>
      </c>
      <c r="G2190" s="2">
        <v>-31.04</v>
      </c>
      <c r="H2190" s="2" t="str">
        <f t="shared" si="74"/>
        <v>W</v>
      </c>
      <c r="I2190" s="5"/>
      <c r="J2190" s="5"/>
      <c r="K2190" s="5"/>
      <c r="L2190" s="5">
        <v>1</v>
      </c>
      <c r="M2190" s="7" t="s">
        <v>571</v>
      </c>
      <c r="N2190" s="5">
        <v>34.5</v>
      </c>
      <c r="O2190" s="5">
        <v>24</v>
      </c>
      <c r="P2190" s="5">
        <v>11.78</v>
      </c>
      <c r="Q2190" s="2" t="s">
        <v>376</v>
      </c>
      <c r="R2190" s="5">
        <v>11.78</v>
      </c>
      <c r="S2190" s="5"/>
      <c r="V2190" s="5"/>
      <c r="W2190" s="6" t="s">
        <v>3286</v>
      </c>
    </row>
    <row r="2191" spans="1:23" x14ac:dyDescent="0.15">
      <c r="A2191" s="2" t="s">
        <v>299</v>
      </c>
      <c r="B2191" s="2" t="s">
        <v>3939</v>
      </c>
      <c r="C2191" s="2" t="s">
        <v>1036</v>
      </c>
      <c r="D2191" s="2" t="s">
        <v>435</v>
      </c>
      <c r="E2191" s="1" t="s">
        <v>3823</v>
      </c>
      <c r="F2191" s="2" t="s">
        <v>304</v>
      </c>
      <c r="G2191" s="2">
        <v>-33</v>
      </c>
      <c r="H2191" s="2" t="str">
        <f t="shared" si="74"/>
        <v>W</v>
      </c>
      <c r="I2191" s="5">
        <v>13.5</v>
      </c>
      <c r="J2191" s="5">
        <f xml:space="preserve"> 2.572*(I2191*10) - 34.364</f>
        <v>312.85600000000005</v>
      </c>
      <c r="K2191" s="5"/>
      <c r="L2191" s="5">
        <v>2</v>
      </c>
      <c r="M2191" s="2" t="s">
        <v>571</v>
      </c>
      <c r="N2191" s="5">
        <v>30.5</v>
      </c>
      <c r="O2191" s="5">
        <v>25.2</v>
      </c>
      <c r="P2191" s="5">
        <v>11.43</v>
      </c>
      <c r="Q2191" s="2" t="s">
        <v>376</v>
      </c>
      <c r="R2191" s="5">
        <v>22.86</v>
      </c>
      <c r="S2191" s="5">
        <f>(R2191/J2191)*100</f>
        <v>7.3068760068529919</v>
      </c>
      <c r="V2191" s="5"/>
      <c r="W2191" s="6" t="s">
        <v>3286</v>
      </c>
    </row>
    <row r="2192" spans="1:23" ht="12.75" customHeight="1" x14ac:dyDescent="0.15">
      <c r="A2192" s="2" t="s">
        <v>299</v>
      </c>
      <c r="B2192" s="2" t="s">
        <v>3939</v>
      </c>
      <c r="C2192" s="2" t="s">
        <v>1036</v>
      </c>
      <c r="D2192" s="2" t="s">
        <v>435</v>
      </c>
      <c r="E2192" s="1" t="s">
        <v>3823</v>
      </c>
      <c r="F2192" s="2" t="s">
        <v>304</v>
      </c>
      <c r="G2192" s="2">
        <v>-33</v>
      </c>
      <c r="H2192" s="2" t="str">
        <f t="shared" si="74"/>
        <v>W</v>
      </c>
      <c r="I2192" s="5"/>
      <c r="J2192" s="5"/>
      <c r="K2192" s="5"/>
      <c r="L2192" s="5">
        <v>2</v>
      </c>
      <c r="M2192" s="2" t="s">
        <v>571</v>
      </c>
      <c r="N2192" s="5">
        <v>29</v>
      </c>
      <c r="O2192" s="5">
        <v>22.4</v>
      </c>
      <c r="P2192" s="5">
        <v>8.2200000000000006</v>
      </c>
      <c r="Q2192" s="2" t="s">
        <v>376</v>
      </c>
      <c r="R2192" s="5">
        <v>16.440000000000001</v>
      </c>
      <c r="S2192" s="5"/>
      <c r="V2192" s="5"/>
      <c r="W2192" s="6" t="s">
        <v>3286</v>
      </c>
    </row>
    <row r="2193" spans="1:23" x14ac:dyDescent="0.15">
      <c r="A2193" s="2" t="s">
        <v>299</v>
      </c>
      <c r="B2193" s="2" t="s">
        <v>3939</v>
      </c>
      <c r="C2193" s="2" t="s">
        <v>1036</v>
      </c>
      <c r="D2193" s="2" t="s">
        <v>435</v>
      </c>
      <c r="E2193" s="1" t="s">
        <v>3823</v>
      </c>
      <c r="F2193" s="2" t="s">
        <v>304</v>
      </c>
      <c r="H2193" s="2" t="s">
        <v>3887</v>
      </c>
      <c r="I2193" s="5"/>
      <c r="J2193" s="5"/>
      <c r="K2193" s="5"/>
      <c r="L2193" s="7">
        <f>MEDIAN(2,3)</f>
        <v>2.5</v>
      </c>
      <c r="M2193" s="2" t="s">
        <v>571</v>
      </c>
      <c r="N2193" s="5">
        <v>29.85</v>
      </c>
      <c r="O2193" s="5">
        <v>22.23</v>
      </c>
      <c r="P2193" s="5">
        <v>8.36</v>
      </c>
      <c r="Q2193" s="2" t="s">
        <v>376</v>
      </c>
      <c r="R2193" s="5">
        <v>20.91</v>
      </c>
      <c r="S2193" s="5"/>
      <c r="V2193" s="5"/>
      <c r="W2193" s="6" t="s">
        <v>2627</v>
      </c>
    </row>
    <row r="2194" spans="1:23" x14ac:dyDescent="0.15">
      <c r="A2194" s="2" t="s">
        <v>299</v>
      </c>
      <c r="B2194" s="2" t="s">
        <v>3939</v>
      </c>
      <c r="C2194" s="2" t="s">
        <v>1036</v>
      </c>
      <c r="D2194" s="2" t="s">
        <v>435</v>
      </c>
      <c r="E2194" s="1" t="s">
        <v>3823</v>
      </c>
      <c r="F2194" s="2" t="s">
        <v>334</v>
      </c>
      <c r="G2194" s="2">
        <v>-33</v>
      </c>
      <c r="H2194" s="2" t="str">
        <f t="shared" si="74"/>
        <v>W</v>
      </c>
      <c r="I2194" s="5">
        <v>13.05</v>
      </c>
      <c r="J2194" s="5">
        <v>498</v>
      </c>
      <c r="K2194" s="5"/>
      <c r="L2194" s="5">
        <v>1.78</v>
      </c>
      <c r="M2194" s="2" t="s">
        <v>571</v>
      </c>
      <c r="N2194" s="5"/>
      <c r="O2194" s="5"/>
      <c r="P2194" s="5">
        <v>12.86</v>
      </c>
      <c r="Q2194" s="2" t="s">
        <v>18</v>
      </c>
      <c r="R2194" s="5">
        <f>P2194*L2194</f>
        <v>22.890799999999999</v>
      </c>
      <c r="S2194" s="5">
        <f>(R2194/J2194)*100</f>
        <v>4.5965461847389557</v>
      </c>
      <c r="T2194" s="2">
        <v>3.7</v>
      </c>
      <c r="U2194" s="2" t="str">
        <f>IF(T2194&lt;=1, "1",IF(AND(T2194&gt;1,T2194&lt;4), "2-3", "+4"))</f>
        <v>2-3</v>
      </c>
      <c r="V2194" s="5">
        <f>S2194*T2194</f>
        <v>17.007220883534139</v>
      </c>
      <c r="W2194" s="6" t="s">
        <v>2115</v>
      </c>
    </row>
    <row r="2195" spans="1:23" x14ac:dyDescent="0.15">
      <c r="A2195" s="2" t="s">
        <v>299</v>
      </c>
      <c r="B2195" s="2" t="s">
        <v>3939</v>
      </c>
      <c r="C2195" s="2" t="s">
        <v>1038</v>
      </c>
      <c r="D2195" s="1" t="s">
        <v>436</v>
      </c>
      <c r="E2195" s="1" t="s">
        <v>3524</v>
      </c>
      <c r="F2195" s="1" t="s">
        <v>374</v>
      </c>
      <c r="G2195" s="1" t="s">
        <v>374</v>
      </c>
      <c r="H2195" s="2" t="str">
        <f t="shared" si="74"/>
        <v>C</v>
      </c>
      <c r="I2195" s="8"/>
      <c r="J2195" s="8"/>
      <c r="K2195" s="8"/>
      <c r="L2195" s="8">
        <v>1.1100000000000001</v>
      </c>
      <c r="M2195" s="2" t="s">
        <v>571</v>
      </c>
      <c r="N2195" s="8"/>
      <c r="O2195" s="8"/>
      <c r="P2195" s="8"/>
      <c r="Q2195" s="1"/>
      <c r="R2195" s="8"/>
      <c r="S2195" s="8"/>
      <c r="T2195" s="1">
        <v>2.25</v>
      </c>
      <c r="U2195" s="2" t="str">
        <f>IF(T2195&lt;=1, "1",IF(AND(T2195&gt;1,T2195&lt;4), "2-3", "+4"))</f>
        <v>2-3</v>
      </c>
      <c r="V2195" s="8"/>
      <c r="W2195" s="6" t="s">
        <v>3604</v>
      </c>
    </row>
    <row r="2196" spans="1:23" x14ac:dyDescent="0.15">
      <c r="A2196" s="2" t="s">
        <v>299</v>
      </c>
      <c r="B2196" s="2" t="s">
        <v>3939</v>
      </c>
      <c r="C2196" s="2" t="s">
        <v>1038</v>
      </c>
      <c r="D2196" s="2" t="s">
        <v>436</v>
      </c>
      <c r="E2196" s="1" t="s">
        <v>3524</v>
      </c>
      <c r="F2196" s="2" t="s">
        <v>301</v>
      </c>
      <c r="G2196" s="2">
        <v>-25.02</v>
      </c>
      <c r="H2196" s="2" t="str">
        <f t="shared" si="74"/>
        <v>W</v>
      </c>
      <c r="I2196" s="5"/>
      <c r="J2196" s="5"/>
      <c r="K2196" s="7"/>
      <c r="L2196" s="7"/>
      <c r="M2196" s="2" t="s">
        <v>571</v>
      </c>
      <c r="N2196" s="7">
        <v>33</v>
      </c>
      <c r="O2196" s="5">
        <v>29</v>
      </c>
      <c r="P2196" s="5">
        <f xml:space="preserve"> (0.537*N2196) + (1.309*O2196) - 40.389</f>
        <v>15.292999999999999</v>
      </c>
      <c r="Q2196" s="2" t="s">
        <v>376</v>
      </c>
      <c r="R2196" s="5"/>
      <c r="S2196" s="5"/>
      <c r="T2196" s="12"/>
      <c r="U2196" s="12"/>
      <c r="V2196" s="5"/>
      <c r="W2196" s="6" t="s">
        <v>2623</v>
      </c>
    </row>
    <row r="2197" spans="1:23" x14ac:dyDescent="0.15">
      <c r="A2197" s="2" t="s">
        <v>299</v>
      </c>
      <c r="B2197" s="2" t="s">
        <v>3939</v>
      </c>
      <c r="C2197" s="2" t="s">
        <v>1038</v>
      </c>
      <c r="D2197" s="2" t="s">
        <v>436</v>
      </c>
      <c r="E2197" s="1" t="s">
        <v>3524</v>
      </c>
      <c r="F2197" s="2" t="s">
        <v>301</v>
      </c>
      <c r="G2197" s="2">
        <v>-21.75</v>
      </c>
      <c r="H2197" s="2" t="str">
        <f t="shared" si="74"/>
        <v>W</v>
      </c>
      <c r="I2197" s="5"/>
      <c r="J2197" s="5"/>
      <c r="K2197" s="7"/>
      <c r="L2197" s="7"/>
      <c r="M2197" s="2" t="s">
        <v>571</v>
      </c>
      <c r="N2197" s="7">
        <v>33</v>
      </c>
      <c r="O2197" s="5">
        <v>28</v>
      </c>
      <c r="P2197" s="5">
        <f xml:space="preserve"> (0.537*N2197) + (1.309*O2197) - 40.389</f>
        <v>13.984000000000002</v>
      </c>
      <c r="Q2197" s="2" t="s">
        <v>376</v>
      </c>
      <c r="R2197" s="5"/>
      <c r="S2197" s="5"/>
      <c r="T2197" s="12"/>
      <c r="U2197" s="12"/>
      <c r="V2197" s="5"/>
      <c r="W2197" s="6" t="s">
        <v>2623</v>
      </c>
    </row>
    <row r="2198" spans="1:23" x14ac:dyDescent="0.15">
      <c r="A2198" s="2" t="s">
        <v>299</v>
      </c>
      <c r="B2198" s="2" t="s">
        <v>3939</v>
      </c>
      <c r="C2198" s="2" t="s">
        <v>1038</v>
      </c>
      <c r="D2198" s="2" t="s">
        <v>436</v>
      </c>
      <c r="E2198" s="1" t="s">
        <v>3524</v>
      </c>
      <c r="F2198" s="2" t="s">
        <v>301</v>
      </c>
      <c r="G2198" s="2">
        <v>-23.35</v>
      </c>
      <c r="H2198" s="2" t="str">
        <f t="shared" si="74"/>
        <v>W</v>
      </c>
      <c r="I2198" s="5"/>
      <c r="J2198" s="5"/>
      <c r="K2198" s="7"/>
      <c r="L2198" s="7"/>
      <c r="M2198" s="2" t="s">
        <v>571</v>
      </c>
      <c r="N2198" s="7">
        <v>34.25</v>
      </c>
      <c r="O2198" s="5">
        <v>26.5</v>
      </c>
      <c r="P2198" s="5">
        <f xml:space="preserve"> (0.537*N2198) + (1.309*O2198) - 40.389</f>
        <v>12.691749999999992</v>
      </c>
      <c r="Q2198" s="2" t="s">
        <v>376</v>
      </c>
      <c r="R2198" s="5"/>
      <c r="S2198" s="5"/>
      <c r="T2198" s="12"/>
      <c r="U2198" s="12"/>
      <c r="V2198" s="5"/>
      <c r="W2198" s="6" t="s">
        <v>2623</v>
      </c>
    </row>
    <row r="2199" spans="1:23" x14ac:dyDescent="0.15">
      <c r="A2199" s="2" t="s">
        <v>299</v>
      </c>
      <c r="B2199" s="2" t="s">
        <v>3939</v>
      </c>
      <c r="C2199" s="2" t="s">
        <v>1038</v>
      </c>
      <c r="D2199" s="2" t="s">
        <v>436</v>
      </c>
      <c r="E2199" s="1" t="s">
        <v>3524</v>
      </c>
      <c r="F2199" s="2" t="s">
        <v>301</v>
      </c>
      <c r="H2199" s="2" t="s">
        <v>3887</v>
      </c>
      <c r="I2199" s="5"/>
      <c r="J2199" s="5"/>
      <c r="K2199" s="7"/>
      <c r="L2199" s="7">
        <v>1</v>
      </c>
      <c r="M2199" s="2" t="s">
        <v>571</v>
      </c>
      <c r="N2199" s="7">
        <f>MEDIAN(33,35)</f>
        <v>34</v>
      </c>
      <c r="O2199" s="5">
        <f>MEDIAN(25,30)</f>
        <v>27.5</v>
      </c>
      <c r="P2199" s="5"/>
      <c r="R2199" s="5"/>
      <c r="S2199" s="5"/>
      <c r="T2199" s="12"/>
      <c r="U2199" s="12"/>
      <c r="V2199" s="5"/>
      <c r="W2199" s="6" t="s">
        <v>2626</v>
      </c>
    </row>
    <row r="2200" spans="1:23" x14ac:dyDescent="0.15">
      <c r="A2200" s="2" t="s">
        <v>299</v>
      </c>
      <c r="B2200" s="2" t="s">
        <v>3939</v>
      </c>
      <c r="C2200" s="2" t="s">
        <v>1038</v>
      </c>
      <c r="D2200" s="2" t="s">
        <v>436</v>
      </c>
      <c r="E2200" s="1" t="s">
        <v>3524</v>
      </c>
      <c r="F2200" s="2" t="s">
        <v>301</v>
      </c>
      <c r="H2200" s="2" t="s">
        <v>3887</v>
      </c>
      <c r="I2200" s="5">
        <v>11</v>
      </c>
      <c r="J2200" s="5">
        <v>205</v>
      </c>
      <c r="K2200" s="7">
        <f>MEDIAN(8,11)</f>
        <v>9.5</v>
      </c>
      <c r="L2200" s="5">
        <v>1</v>
      </c>
      <c r="M2200" s="2" t="s">
        <v>571</v>
      </c>
      <c r="N2200" s="5"/>
      <c r="O2200" s="5"/>
      <c r="P2200" s="5"/>
      <c r="R2200" s="5"/>
      <c r="S2200" s="5"/>
      <c r="T2200" s="2" t="s">
        <v>382</v>
      </c>
      <c r="U2200" s="40" t="s">
        <v>395</v>
      </c>
      <c r="V2200" s="5"/>
      <c r="W2200" s="6" t="s">
        <v>2622</v>
      </c>
    </row>
    <row r="2201" spans="1:23" x14ac:dyDescent="0.15">
      <c r="A2201" s="2" t="s">
        <v>299</v>
      </c>
      <c r="B2201" s="2" t="s">
        <v>3939</v>
      </c>
      <c r="C2201" s="2" t="s">
        <v>1038</v>
      </c>
      <c r="D2201" s="2" t="s">
        <v>436</v>
      </c>
      <c r="E2201" s="1" t="s">
        <v>3524</v>
      </c>
      <c r="F2201" s="2" t="s">
        <v>301</v>
      </c>
      <c r="H2201" s="2" t="s">
        <v>3887</v>
      </c>
      <c r="I2201" s="5">
        <v>11</v>
      </c>
      <c r="J2201" s="5">
        <v>200</v>
      </c>
      <c r="K2201" s="7">
        <f>MEDIAN(9,13)</f>
        <v>11</v>
      </c>
      <c r="L2201" s="5">
        <v>1</v>
      </c>
      <c r="M2201" s="2" t="s">
        <v>571</v>
      </c>
      <c r="N2201" s="5"/>
      <c r="O2201" s="5"/>
      <c r="P2201" s="5">
        <v>17.399999999999999</v>
      </c>
      <c r="Q2201" s="2" t="s">
        <v>18</v>
      </c>
      <c r="R2201" s="5">
        <v>17.399999999999999</v>
      </c>
      <c r="S2201" s="5">
        <v>8.6999999999999993</v>
      </c>
      <c r="T2201" s="9">
        <f>MEDIAN(1,3)</f>
        <v>2</v>
      </c>
      <c r="U2201" s="2" t="str">
        <f>IF(T2201&lt;=1, "1",IF(AND(T2201&gt;1,T2201&lt;4), "2-3", "+4"))</f>
        <v>2-3</v>
      </c>
      <c r="V2201" s="33">
        <f>T2201*S2201</f>
        <v>17.399999999999999</v>
      </c>
      <c r="W2201" s="6" t="s">
        <v>2619</v>
      </c>
    </row>
    <row r="2202" spans="1:23" x14ac:dyDescent="0.15">
      <c r="A2202" s="2" t="s">
        <v>299</v>
      </c>
      <c r="B2202" s="2" t="s">
        <v>3939</v>
      </c>
      <c r="C2202" s="2" t="s">
        <v>1038</v>
      </c>
      <c r="D2202" s="2" t="s">
        <v>436</v>
      </c>
      <c r="E2202" s="1" t="s">
        <v>3524</v>
      </c>
      <c r="F2202" s="2" t="s">
        <v>374</v>
      </c>
      <c r="G2202" s="2" t="s">
        <v>374</v>
      </c>
      <c r="H2202" s="2" t="str">
        <f t="shared" si="74"/>
        <v>C</v>
      </c>
      <c r="I2202" s="5"/>
      <c r="J2202" s="5"/>
      <c r="K2202" s="7"/>
      <c r="L2202" s="7">
        <v>1</v>
      </c>
      <c r="M2202" s="2" t="s">
        <v>571</v>
      </c>
      <c r="N2202" s="5">
        <v>37.19</v>
      </c>
      <c r="O2202" s="5">
        <v>29.65</v>
      </c>
      <c r="P2202" s="5">
        <v>18.73</v>
      </c>
      <c r="Q2202" s="2" t="s">
        <v>18</v>
      </c>
      <c r="R2202" s="5">
        <v>18.73</v>
      </c>
      <c r="S2202" s="5"/>
      <c r="T2202" s="9" t="s">
        <v>894</v>
      </c>
      <c r="U2202" s="9"/>
      <c r="V2202" s="5"/>
      <c r="W2202" s="6" t="s">
        <v>2624</v>
      </c>
    </row>
    <row r="2203" spans="1:23" x14ac:dyDescent="0.15">
      <c r="A2203" s="2" t="s">
        <v>299</v>
      </c>
      <c r="B2203" s="2" t="s">
        <v>3939</v>
      </c>
      <c r="C2203" s="2" t="s">
        <v>1038</v>
      </c>
      <c r="D2203" s="2" t="s">
        <v>436</v>
      </c>
      <c r="E2203" s="1" t="s">
        <v>3525</v>
      </c>
      <c r="F2203" s="2" t="s">
        <v>374</v>
      </c>
      <c r="G2203" s="2" t="s">
        <v>374</v>
      </c>
      <c r="H2203" s="2" t="str">
        <f t="shared" si="74"/>
        <v>C</v>
      </c>
      <c r="I2203" s="5"/>
      <c r="J2203" s="5"/>
      <c r="K2203" s="7"/>
      <c r="L2203" s="7">
        <v>1</v>
      </c>
      <c r="M2203" s="2" t="s">
        <v>571</v>
      </c>
      <c r="N2203" s="5">
        <v>33.35</v>
      </c>
      <c r="O2203" s="5">
        <v>27.79</v>
      </c>
      <c r="P2203" s="5">
        <v>13.46</v>
      </c>
      <c r="Q2203" s="2" t="s">
        <v>18</v>
      </c>
      <c r="R2203" s="5">
        <v>13.46</v>
      </c>
      <c r="S2203" s="5"/>
      <c r="T2203" s="9"/>
      <c r="U2203" s="9"/>
      <c r="V2203" s="5"/>
      <c r="W2203" s="6" t="s">
        <v>2624</v>
      </c>
    </row>
    <row r="2204" spans="1:23" x14ac:dyDescent="0.15">
      <c r="A2204" s="2" t="s">
        <v>299</v>
      </c>
      <c r="B2204" s="2" t="s">
        <v>3939</v>
      </c>
      <c r="C2204" s="2" t="s">
        <v>1038</v>
      </c>
      <c r="D2204" s="2" t="s">
        <v>408</v>
      </c>
      <c r="E2204" s="1"/>
      <c r="F2204" s="2" t="s">
        <v>301</v>
      </c>
      <c r="G2204" s="2">
        <v>-20.05</v>
      </c>
      <c r="H2204" s="2" t="str">
        <f t="shared" si="74"/>
        <v>W</v>
      </c>
      <c r="I2204" s="5">
        <v>13.032999999999999</v>
      </c>
      <c r="J2204" s="5">
        <v>416.5</v>
      </c>
      <c r="K2204" s="7"/>
      <c r="L2204" s="5"/>
      <c r="M2204" s="2" t="s">
        <v>571</v>
      </c>
      <c r="N2204" s="5"/>
      <c r="O2204" s="5"/>
      <c r="P2204" s="5"/>
      <c r="R2204" s="5"/>
      <c r="S2204" s="5"/>
      <c r="V2204" s="5"/>
      <c r="W2204" s="6" t="s">
        <v>2620</v>
      </c>
    </row>
    <row r="2205" spans="1:23" x14ac:dyDescent="0.15">
      <c r="A2205" s="2" t="s">
        <v>299</v>
      </c>
      <c r="B2205" s="2" t="s">
        <v>3939</v>
      </c>
      <c r="C2205" s="2" t="s">
        <v>1038</v>
      </c>
      <c r="D2205" s="2" t="s">
        <v>408</v>
      </c>
      <c r="E2205" s="1"/>
      <c r="F2205" s="2" t="s">
        <v>301</v>
      </c>
      <c r="G2205" s="2">
        <v>-20.29</v>
      </c>
      <c r="H2205" s="2" t="str">
        <f t="shared" si="74"/>
        <v>W</v>
      </c>
      <c r="I2205" s="5"/>
      <c r="J2205" s="5"/>
      <c r="K2205" s="5"/>
      <c r="L2205" s="5"/>
      <c r="M2205" s="2" t="s">
        <v>571</v>
      </c>
      <c r="N2205" s="5">
        <v>35.5</v>
      </c>
      <c r="O2205" s="5">
        <v>28</v>
      </c>
      <c r="P2205" s="5">
        <f xml:space="preserve"> (0.231*N2205) + (1.131*O2205) - 22.671</f>
        <v>17.197499999999998</v>
      </c>
      <c r="Q2205" s="2" t="s">
        <v>376</v>
      </c>
      <c r="R2205" s="5"/>
      <c r="S2205" s="5"/>
      <c r="T2205" s="12"/>
      <c r="U2205" s="12"/>
      <c r="V2205" s="5"/>
      <c r="W2205" s="6" t="s">
        <v>2623</v>
      </c>
    </row>
    <row r="2206" spans="1:23" x14ac:dyDescent="0.15">
      <c r="A2206" s="2" t="s">
        <v>299</v>
      </c>
      <c r="B2206" s="2" t="s">
        <v>3939</v>
      </c>
      <c r="C2206" s="2" t="s">
        <v>1038</v>
      </c>
      <c r="D2206" s="2" t="s">
        <v>408</v>
      </c>
      <c r="E2206" s="1"/>
      <c r="F2206" s="2" t="s">
        <v>301</v>
      </c>
      <c r="G2206" s="2" t="s">
        <v>374</v>
      </c>
      <c r="H2206" s="2" t="str">
        <f t="shared" si="74"/>
        <v>C</v>
      </c>
      <c r="I2206" s="5">
        <f>MEDIAN(13,15)</f>
        <v>14</v>
      </c>
      <c r="J2206" s="5"/>
      <c r="K2206" s="7"/>
      <c r="L2206" s="5">
        <v>1</v>
      </c>
      <c r="M2206" s="2" t="s">
        <v>571</v>
      </c>
      <c r="N2206" s="5">
        <v>38</v>
      </c>
      <c r="O2206" s="5">
        <v>29.7</v>
      </c>
      <c r="P2206" s="5">
        <v>19.7</v>
      </c>
      <c r="Q2206" s="2" t="s">
        <v>18</v>
      </c>
      <c r="R2206" s="5">
        <v>19.7</v>
      </c>
      <c r="S2206" s="5"/>
      <c r="T2206" s="2" t="s">
        <v>382</v>
      </c>
      <c r="U2206" s="40" t="s">
        <v>395</v>
      </c>
      <c r="V2206" s="5"/>
      <c r="W2206" s="6" t="s">
        <v>2621</v>
      </c>
    </row>
    <row r="2207" spans="1:23" x14ac:dyDescent="0.15">
      <c r="A2207" s="2" t="s">
        <v>299</v>
      </c>
      <c r="B2207" s="2" t="s">
        <v>3939</v>
      </c>
      <c r="C2207" s="2" t="s">
        <v>1038</v>
      </c>
      <c r="D2207" s="2" t="s">
        <v>408</v>
      </c>
      <c r="E2207" s="1"/>
      <c r="F2207" s="2" t="s">
        <v>374</v>
      </c>
      <c r="G2207" s="2" t="s">
        <v>374</v>
      </c>
      <c r="H2207" s="2" t="str">
        <f t="shared" si="74"/>
        <v>C</v>
      </c>
      <c r="I2207" s="5"/>
      <c r="J2207" s="5"/>
      <c r="K2207" s="5"/>
      <c r="L2207" s="5">
        <v>1</v>
      </c>
      <c r="M2207" s="2" t="s">
        <v>571</v>
      </c>
      <c r="N2207" s="5">
        <v>38</v>
      </c>
      <c r="O2207" s="5">
        <v>29.7</v>
      </c>
      <c r="P2207" s="5">
        <v>19.7</v>
      </c>
      <c r="Q2207" s="2" t="s">
        <v>18</v>
      </c>
      <c r="R2207" s="5">
        <v>19.7</v>
      </c>
      <c r="S2207" s="5"/>
      <c r="T2207" s="7">
        <f>MEDIAN(2,3)</f>
        <v>2.5</v>
      </c>
      <c r="U2207" s="2" t="str">
        <f>IF(T2207&lt;=1, "1",IF(AND(T2207&gt;1,T2207&lt;4), "2-3", "+4"))</f>
        <v>2-3</v>
      </c>
      <c r="V2207" s="5"/>
      <c r="W2207" s="6" t="s">
        <v>2621</v>
      </c>
    </row>
    <row r="2208" spans="1:23" x14ac:dyDescent="0.15">
      <c r="A2208" s="2" t="s">
        <v>299</v>
      </c>
      <c r="B2208" s="2" t="s">
        <v>3939</v>
      </c>
      <c r="C2208" s="2" t="s">
        <v>1038</v>
      </c>
      <c r="D2208" s="2" t="s">
        <v>408</v>
      </c>
      <c r="E2208" s="1"/>
      <c r="F2208" s="2" t="s">
        <v>301</v>
      </c>
      <c r="H2208" s="2" t="s">
        <v>3887</v>
      </c>
      <c r="I2208" s="5"/>
      <c r="J2208" s="5"/>
      <c r="K2208" s="7">
        <f>MEDIAN(8,12)</f>
        <v>10</v>
      </c>
      <c r="L2208" s="5">
        <v>1</v>
      </c>
      <c r="M2208" s="2" t="s">
        <v>571</v>
      </c>
      <c r="N2208" s="5"/>
      <c r="O2208" s="5">
        <f xml:space="preserve"> (P2208+17.32)/1.2353</f>
        <v>29.968428721767985</v>
      </c>
      <c r="P2208" s="5">
        <v>19.7</v>
      </c>
      <c r="Q2208" s="2" t="s">
        <v>18</v>
      </c>
      <c r="R2208" s="5">
        <v>19.7</v>
      </c>
      <c r="S2208" s="5"/>
      <c r="T2208" s="2" t="s">
        <v>382</v>
      </c>
      <c r="U2208" s="40" t="s">
        <v>395</v>
      </c>
      <c r="V2208" s="5"/>
      <c r="W2208" s="6" t="s">
        <v>2622</v>
      </c>
    </row>
    <row r="2209" spans="1:23" x14ac:dyDescent="0.15">
      <c r="A2209" s="2" t="s">
        <v>299</v>
      </c>
      <c r="B2209" s="2" t="s">
        <v>3939</v>
      </c>
      <c r="C2209" s="2" t="s">
        <v>1038</v>
      </c>
      <c r="D2209" s="2" t="s">
        <v>408</v>
      </c>
      <c r="E2209" s="1"/>
      <c r="F2209" s="2" t="s">
        <v>301</v>
      </c>
      <c r="H2209" s="2" t="s">
        <v>3887</v>
      </c>
      <c r="I2209" s="5">
        <v>13.2</v>
      </c>
      <c r="J2209" s="5">
        <v>420</v>
      </c>
      <c r="K2209" s="7">
        <f>MEDIAN(9,13)</f>
        <v>11</v>
      </c>
      <c r="L2209" s="5">
        <v>1</v>
      </c>
      <c r="M2209" s="2" t="s">
        <v>571</v>
      </c>
      <c r="N2209" s="5"/>
      <c r="O2209" s="5"/>
      <c r="P2209" s="5">
        <v>19.7</v>
      </c>
      <c r="Q2209" s="2" t="s">
        <v>18</v>
      </c>
      <c r="R2209" s="5">
        <v>19.7</v>
      </c>
      <c r="S2209" s="5">
        <v>4.6900000000000004</v>
      </c>
      <c r="T2209" s="7">
        <f>MEDIAN(1,3)</f>
        <v>2</v>
      </c>
      <c r="U2209" s="2" t="str">
        <f>IF(T2209&lt;=1, "1",IF(AND(T2209&gt;1,T2209&lt;4), "2-3", "+4"))</f>
        <v>2-3</v>
      </c>
      <c r="V2209" s="33">
        <f>T2209*S2209</f>
        <v>9.3800000000000008</v>
      </c>
      <c r="W2209" s="6" t="s">
        <v>2619</v>
      </c>
    </row>
    <row r="2210" spans="1:23" x14ac:dyDescent="0.15">
      <c r="A2210" s="2" t="s">
        <v>299</v>
      </c>
      <c r="B2210" s="2" t="s">
        <v>3939</v>
      </c>
      <c r="C2210" s="2" t="s">
        <v>1038</v>
      </c>
      <c r="D2210" s="2" t="s">
        <v>408</v>
      </c>
      <c r="E2210" s="1"/>
      <c r="F2210" s="2" t="s">
        <v>335</v>
      </c>
      <c r="G2210" s="2">
        <v>-20</v>
      </c>
      <c r="H2210" s="2" t="str">
        <f t="shared" si="74"/>
        <v>W</v>
      </c>
      <c r="I2210" s="5">
        <v>11.167</v>
      </c>
      <c r="J2210" s="5">
        <v>203.43</v>
      </c>
      <c r="K2210" s="5"/>
      <c r="L2210" s="5">
        <v>1</v>
      </c>
      <c r="M2210" s="2" t="s">
        <v>571</v>
      </c>
      <c r="N2210" s="5">
        <v>36.4</v>
      </c>
      <c r="O2210" s="5">
        <v>29.08</v>
      </c>
      <c r="P2210" s="5">
        <v>18.7</v>
      </c>
      <c r="Q2210" s="2" t="s">
        <v>18</v>
      </c>
      <c r="R2210" s="5">
        <f>P2210*L2210</f>
        <v>18.7</v>
      </c>
      <c r="S2210" s="5">
        <f>(R2210/J2210)*100</f>
        <v>9.1923511773091473</v>
      </c>
      <c r="T2210" s="7">
        <f>MEDIAN(1,3)</f>
        <v>2</v>
      </c>
      <c r="U2210" s="2" t="str">
        <f>IF(T2210&lt;=1, "1",IF(AND(T2210&gt;1,T2210&lt;4), "2-3", "+4"))</f>
        <v>2-3</v>
      </c>
      <c r="V2210" s="33">
        <f>T2210*S2210</f>
        <v>18.384702354618295</v>
      </c>
      <c r="W2210" s="6" t="s">
        <v>1871</v>
      </c>
    </row>
    <row r="2211" spans="1:23" x14ac:dyDescent="0.15">
      <c r="A2211" s="2" t="s">
        <v>299</v>
      </c>
      <c r="B2211" s="2" t="s">
        <v>3939</v>
      </c>
      <c r="C2211" s="2" t="s">
        <v>1038</v>
      </c>
      <c r="D2211" s="2" t="s">
        <v>408</v>
      </c>
      <c r="E2211" s="1"/>
      <c r="F2211" s="2" t="s">
        <v>336</v>
      </c>
      <c r="G2211" s="2">
        <v>-20.3</v>
      </c>
      <c r="H2211" s="2" t="str">
        <f t="shared" si="74"/>
        <v>W</v>
      </c>
      <c r="I2211" s="5">
        <v>13.53</v>
      </c>
      <c r="J2211" s="5">
        <v>440</v>
      </c>
      <c r="K2211" s="5"/>
      <c r="L2211" s="5">
        <v>1</v>
      </c>
      <c r="M2211" s="2" t="s">
        <v>571</v>
      </c>
      <c r="N2211" s="5">
        <v>36.024999999999999</v>
      </c>
      <c r="O2211" s="5">
        <v>29.3</v>
      </c>
      <c r="P2211" s="5">
        <v>18.75</v>
      </c>
      <c r="Q2211" s="2" t="s">
        <v>18</v>
      </c>
      <c r="R2211" s="5">
        <f>P2211*L2211</f>
        <v>18.75</v>
      </c>
      <c r="S2211" s="5">
        <f>(R2211/J2211)*100</f>
        <v>4.2613636363636358</v>
      </c>
      <c r="T2211" s="7">
        <f>MEDIAN(1,3)</f>
        <v>2</v>
      </c>
      <c r="U2211" s="2" t="str">
        <f>IF(T2211&lt;=1, "1",IF(AND(T2211&gt;1,T2211&lt;4), "2-3", "+4"))</f>
        <v>2-3</v>
      </c>
      <c r="V2211" s="33">
        <f>T2211*S2211</f>
        <v>8.5227272727272716</v>
      </c>
      <c r="W2211" s="6" t="s">
        <v>1872</v>
      </c>
    </row>
    <row r="2212" spans="1:23" x14ac:dyDescent="0.15">
      <c r="A2212" s="2" t="s">
        <v>299</v>
      </c>
      <c r="B2212" s="2" t="s">
        <v>3939</v>
      </c>
      <c r="C2212" s="2" t="s">
        <v>1024</v>
      </c>
      <c r="D2212" s="2" t="s">
        <v>394</v>
      </c>
      <c r="E2212" s="1" t="s">
        <v>3526</v>
      </c>
      <c r="F2212" s="2" t="s">
        <v>374</v>
      </c>
      <c r="G2212" s="2" t="s">
        <v>374</v>
      </c>
      <c r="H2212" s="2" t="str">
        <f t="shared" si="74"/>
        <v>C</v>
      </c>
      <c r="I2212" s="5">
        <v>34.1</v>
      </c>
      <c r="J2212" s="5">
        <v>6500</v>
      </c>
      <c r="K2212" s="7"/>
      <c r="L2212" s="5">
        <v>9.6</v>
      </c>
      <c r="M2212" s="2" t="s">
        <v>571</v>
      </c>
      <c r="N2212" s="5"/>
      <c r="O2212" s="5"/>
      <c r="P2212" s="5"/>
      <c r="R2212" s="5"/>
      <c r="S2212" s="5"/>
      <c r="T2212" s="7">
        <v>5</v>
      </c>
      <c r="U2212" s="2" t="str">
        <f>IF(T2212&lt;=1, "1",IF(AND(T2212&gt;1,T2212&lt;4), "2-3", "+4"))</f>
        <v>+4</v>
      </c>
      <c r="V2212" s="5"/>
      <c r="W2212" s="6" t="s">
        <v>2608</v>
      </c>
    </row>
    <row r="2213" spans="1:23" x14ac:dyDescent="0.15">
      <c r="A2213" s="2" t="s">
        <v>299</v>
      </c>
      <c r="B2213" s="2" t="s">
        <v>3939</v>
      </c>
      <c r="C2213" s="2" t="s">
        <v>1024</v>
      </c>
      <c r="D2213" s="2" t="s">
        <v>394</v>
      </c>
      <c r="E2213" s="1" t="s">
        <v>1023</v>
      </c>
      <c r="F2213" s="2" t="s">
        <v>374</v>
      </c>
      <c r="G2213" s="2" t="s">
        <v>374</v>
      </c>
      <c r="H2213" s="2" t="str">
        <f t="shared" si="74"/>
        <v>C</v>
      </c>
      <c r="I2213" s="5"/>
      <c r="J2213" s="5"/>
      <c r="K2213" s="5"/>
      <c r="L2213" s="7">
        <f>MEDIAN(6,10)</f>
        <v>8</v>
      </c>
      <c r="M2213" s="2" t="s">
        <v>571</v>
      </c>
      <c r="N2213" s="5">
        <f>MEDIAN(42,43)</f>
        <v>42.5</v>
      </c>
      <c r="O2213" s="5"/>
      <c r="P2213" s="5">
        <v>45</v>
      </c>
      <c r="Q2213" s="2" t="s">
        <v>18</v>
      </c>
      <c r="R2213" s="5">
        <f>P2213*L2213</f>
        <v>360</v>
      </c>
      <c r="S2213" s="5"/>
      <c r="T2213" s="2" t="s">
        <v>2767</v>
      </c>
      <c r="U2213" s="40" t="s">
        <v>395</v>
      </c>
      <c r="V2213" s="5"/>
      <c r="W2213" s="6" t="s">
        <v>3102</v>
      </c>
    </row>
    <row r="2214" spans="1:23" x14ac:dyDescent="0.15">
      <c r="A2214" s="2" t="s">
        <v>299</v>
      </c>
      <c r="B2214" s="2" t="s">
        <v>3939</v>
      </c>
      <c r="C2214" s="2" t="s">
        <v>1024</v>
      </c>
      <c r="D2214" s="2" t="s">
        <v>394</v>
      </c>
      <c r="E2214" s="1" t="s">
        <v>1023</v>
      </c>
      <c r="F2214" s="2" t="s">
        <v>374</v>
      </c>
      <c r="G2214" s="2" t="s">
        <v>374</v>
      </c>
      <c r="H2214" s="2" t="str">
        <f t="shared" si="74"/>
        <v>C</v>
      </c>
      <c r="I2214" s="5">
        <v>48.418999999999997</v>
      </c>
      <c r="J2214" s="5">
        <v>19318</v>
      </c>
      <c r="K2214" s="5"/>
      <c r="L2214" s="5">
        <v>8.67</v>
      </c>
      <c r="M2214" s="2" t="s">
        <v>571</v>
      </c>
      <c r="N2214" s="5"/>
      <c r="O2214" s="5">
        <f>(P2214+22.805)/1.6397</f>
        <v>50.243947063487219</v>
      </c>
      <c r="P2214" s="5">
        <v>59.58</v>
      </c>
      <c r="Q2214" s="2" t="s">
        <v>18</v>
      </c>
      <c r="R2214" s="5">
        <v>516.6</v>
      </c>
      <c r="S2214" s="5">
        <f>(R2214/J2214)*100</f>
        <v>2.6741898747282331</v>
      </c>
      <c r="V2214" s="5"/>
      <c r="W2214" s="6" t="s">
        <v>2116</v>
      </c>
    </row>
    <row r="2215" spans="1:23" x14ac:dyDescent="0.15">
      <c r="A2215" s="2" t="s">
        <v>299</v>
      </c>
      <c r="B2215" s="2" t="s">
        <v>3939</v>
      </c>
      <c r="C2215" s="2" t="s">
        <v>1024</v>
      </c>
      <c r="D2215" s="2" t="s">
        <v>394</v>
      </c>
      <c r="E2215" s="1" t="s">
        <v>3526</v>
      </c>
      <c r="F2215" s="2" t="s">
        <v>374</v>
      </c>
      <c r="G2215" s="2" t="s">
        <v>374</v>
      </c>
      <c r="H2215" s="2" t="str">
        <f t="shared" si="74"/>
        <v>C</v>
      </c>
      <c r="I2215" s="5"/>
      <c r="J2215" s="5"/>
      <c r="K2215" s="5">
        <v>6.5</v>
      </c>
      <c r="L2215" s="5">
        <v>6.86</v>
      </c>
      <c r="M2215" s="2" t="s">
        <v>571</v>
      </c>
      <c r="N2215" s="5"/>
      <c r="O2215" s="5"/>
      <c r="P2215" s="5"/>
      <c r="R2215" s="5"/>
      <c r="S2215" s="5"/>
      <c r="T2215" s="7">
        <f>MEDIAN(2,3)</f>
        <v>2.5</v>
      </c>
      <c r="U2215" s="2" t="str">
        <f>IF(T2215&lt;=1, "1",IF(AND(T2215&gt;1,T2215&lt;4), "2-3", "+4"))</f>
        <v>2-3</v>
      </c>
      <c r="V2215" s="5"/>
      <c r="W2215" s="6" t="s">
        <v>3103</v>
      </c>
    </row>
    <row r="2216" spans="1:23" x14ac:dyDescent="0.15">
      <c r="A2216" s="2" t="s">
        <v>299</v>
      </c>
      <c r="B2216" s="2" t="s">
        <v>3939</v>
      </c>
      <c r="C2216" s="2" t="s">
        <v>1024</v>
      </c>
      <c r="D2216" s="2" t="s">
        <v>394</v>
      </c>
      <c r="E2216" s="1" t="s">
        <v>1023</v>
      </c>
      <c r="F2216" s="2" t="s">
        <v>374</v>
      </c>
      <c r="G2216" s="2" t="s">
        <v>374</v>
      </c>
      <c r="H2216" s="2" t="str">
        <f t="shared" si="74"/>
        <v>C</v>
      </c>
      <c r="I2216" s="5">
        <f>EXP((LN(J2216/0.62044))/2.7241)</f>
        <v>43.645960419030942</v>
      </c>
      <c r="J2216" s="5">
        <v>18200</v>
      </c>
      <c r="K2216" s="5"/>
      <c r="L2216" s="5">
        <v>9.6</v>
      </c>
      <c r="M2216" s="2" t="s">
        <v>571</v>
      </c>
      <c r="N2216" s="5">
        <v>45.4</v>
      </c>
      <c r="O2216" s="5">
        <v>41.9</v>
      </c>
      <c r="P2216" s="5">
        <f xml:space="preserve"> (1.058*N2216) +(1.039*O2216) - 46.534</f>
        <v>45.03329999999999</v>
      </c>
      <c r="Q2216" s="2" t="s">
        <v>376</v>
      </c>
      <c r="R2216" s="5">
        <f>P2216*L2216</f>
        <v>432.31967999999989</v>
      </c>
      <c r="S2216" s="5">
        <f>(R2216/J2216)*100</f>
        <v>2.3753828571428564</v>
      </c>
      <c r="T2216" s="7">
        <f>MEDIAN(5,7)</f>
        <v>6</v>
      </c>
      <c r="U2216" s="2" t="str">
        <f>IF(T2216&lt;=1, "1",IF(AND(T2216&gt;1,T2216&lt;4), "2-3", "+4"))</f>
        <v>+4</v>
      </c>
      <c r="V2216" s="33">
        <f>T2216*S2216</f>
        <v>14.252297142857138</v>
      </c>
      <c r="W2216" s="6" t="s">
        <v>2189</v>
      </c>
    </row>
    <row r="2217" spans="1:23" x14ac:dyDescent="0.15">
      <c r="A2217" s="2" t="s">
        <v>299</v>
      </c>
      <c r="B2217" s="2" t="s">
        <v>3939</v>
      </c>
      <c r="C2217" s="2" t="s">
        <v>1024</v>
      </c>
      <c r="D2217" s="2" t="s">
        <v>394</v>
      </c>
      <c r="E2217" s="1" t="s">
        <v>1023</v>
      </c>
      <c r="F2217" s="2" t="s">
        <v>647</v>
      </c>
      <c r="G2217" s="2">
        <v>-32.14</v>
      </c>
      <c r="H2217" s="2" t="str">
        <f t="shared" si="74"/>
        <v>W</v>
      </c>
      <c r="I2217" s="5">
        <f>EXP((LN(J2217/0.62044))/2.7241)</f>
        <v>37.65157232626801</v>
      </c>
      <c r="J2217" s="5">
        <v>12170</v>
      </c>
      <c r="K2217" s="5"/>
      <c r="L2217" s="5">
        <v>10</v>
      </c>
      <c r="M2217" s="2" t="s">
        <v>571</v>
      </c>
      <c r="N2217" s="5">
        <v>45.5</v>
      </c>
      <c r="O2217" s="5">
        <v>44.8</v>
      </c>
      <c r="P2217" s="5">
        <f xml:space="preserve"> (1.058*N2217) +(1.039*O2217) - 46.534</f>
        <v>48.152200000000001</v>
      </c>
      <c r="Q2217" s="2" t="s">
        <v>376</v>
      </c>
      <c r="R2217" s="5">
        <f>P2217*L2217</f>
        <v>481.52199999999999</v>
      </c>
      <c r="S2217" s="5">
        <f>(R2217/J2217)*100</f>
        <v>3.9566310599835659</v>
      </c>
      <c r="V2217" s="5"/>
      <c r="W2217" s="6" t="s">
        <v>2617</v>
      </c>
    </row>
    <row r="2218" spans="1:23" x14ac:dyDescent="0.15">
      <c r="A2218" s="2" t="s">
        <v>299</v>
      </c>
      <c r="B2218" s="2" t="s">
        <v>3939</v>
      </c>
      <c r="C2218" s="2" t="s">
        <v>1024</v>
      </c>
      <c r="D2218" s="2" t="s">
        <v>394</v>
      </c>
      <c r="E2218" s="1" t="s">
        <v>3526</v>
      </c>
      <c r="F2218" s="2" t="s">
        <v>374</v>
      </c>
      <c r="G2218" s="2" t="s">
        <v>374</v>
      </c>
      <c r="H2218" s="2" t="str">
        <f t="shared" si="74"/>
        <v>C</v>
      </c>
      <c r="I2218" s="5"/>
      <c r="J2218" s="5"/>
      <c r="K2218" s="5"/>
      <c r="L2218" s="5"/>
      <c r="M2218" s="2" t="s">
        <v>571</v>
      </c>
      <c r="N2218" s="5">
        <v>43</v>
      </c>
      <c r="O2218" s="5">
        <v>43</v>
      </c>
      <c r="P2218" s="5">
        <v>50</v>
      </c>
      <c r="Q2218" s="2" t="s">
        <v>18</v>
      </c>
      <c r="R2218" s="5"/>
      <c r="S2218" s="5"/>
      <c r="V2218" s="5"/>
      <c r="W2218" s="6" t="s">
        <v>2159</v>
      </c>
    </row>
    <row r="2219" spans="1:23" x14ac:dyDescent="0.15">
      <c r="A2219" s="2" t="s">
        <v>299</v>
      </c>
      <c r="B2219" s="2" t="s">
        <v>3939</v>
      </c>
      <c r="C2219" s="2" t="s">
        <v>1024</v>
      </c>
      <c r="D2219" s="2" t="s">
        <v>394</v>
      </c>
      <c r="E2219" s="1" t="s">
        <v>3526</v>
      </c>
      <c r="F2219" s="2" t="s">
        <v>862</v>
      </c>
      <c r="G2219" s="2" t="s">
        <v>374</v>
      </c>
      <c r="H2219" s="2" t="str">
        <f t="shared" si="74"/>
        <v>C</v>
      </c>
      <c r="I2219" s="5"/>
      <c r="J2219" s="5"/>
      <c r="K2219" s="5"/>
      <c r="L2219" s="5"/>
      <c r="M2219" s="2" t="s">
        <v>571</v>
      </c>
      <c r="N2219" s="5">
        <v>42</v>
      </c>
      <c r="O2219" s="5">
        <v>42</v>
      </c>
      <c r="P2219" s="5">
        <v>45</v>
      </c>
      <c r="Q2219" s="2" t="s">
        <v>18</v>
      </c>
      <c r="R2219" s="5"/>
      <c r="S2219" s="5"/>
      <c r="T2219" s="2" t="s">
        <v>863</v>
      </c>
      <c r="U2219" s="40" t="s">
        <v>4047</v>
      </c>
      <c r="V2219" s="5"/>
      <c r="W2219" s="6" t="s">
        <v>2159</v>
      </c>
    </row>
    <row r="2220" spans="1:23" x14ac:dyDescent="0.15">
      <c r="A2220" s="2" t="s">
        <v>299</v>
      </c>
      <c r="B2220" s="2" t="s">
        <v>3939</v>
      </c>
      <c r="C2220" s="2" t="s">
        <v>1024</v>
      </c>
      <c r="D2220" s="2" t="s">
        <v>394</v>
      </c>
      <c r="E2220" s="1" t="s">
        <v>3526</v>
      </c>
      <c r="F2220" s="2" t="s">
        <v>374</v>
      </c>
      <c r="G2220" s="2" t="s">
        <v>374</v>
      </c>
      <c r="H2220" s="2" t="str">
        <f t="shared" si="74"/>
        <v>C</v>
      </c>
      <c r="I2220" s="5"/>
      <c r="J2220" s="5"/>
      <c r="K2220" s="5"/>
      <c r="L2220" s="5"/>
      <c r="M2220" s="2" t="s">
        <v>571</v>
      </c>
      <c r="N2220" s="5">
        <v>35</v>
      </c>
      <c r="O2220" s="5">
        <v>35</v>
      </c>
      <c r="P2220" s="5">
        <v>25</v>
      </c>
      <c r="Q2220" s="2" t="s">
        <v>18</v>
      </c>
      <c r="R2220" s="5"/>
      <c r="S2220" s="5"/>
      <c r="V2220" s="5"/>
      <c r="W2220" s="6" t="s">
        <v>2159</v>
      </c>
    </row>
    <row r="2221" spans="1:23" x14ac:dyDescent="0.15">
      <c r="A2221" s="2" t="s">
        <v>299</v>
      </c>
      <c r="B2221" s="2" t="s">
        <v>3939</v>
      </c>
      <c r="C2221" s="2" t="s">
        <v>1024</v>
      </c>
      <c r="D2221" s="2" t="s">
        <v>394</v>
      </c>
      <c r="E2221" s="1" t="s">
        <v>3526</v>
      </c>
      <c r="F2221" s="2" t="s">
        <v>374</v>
      </c>
      <c r="G2221" s="2" t="s">
        <v>374</v>
      </c>
      <c r="H2221" s="2" t="str">
        <f t="shared" si="74"/>
        <v>C</v>
      </c>
      <c r="I2221" s="5">
        <v>38.4</v>
      </c>
      <c r="J2221" s="5">
        <v>9759</v>
      </c>
      <c r="K2221" s="5"/>
      <c r="L2221" s="5">
        <v>15</v>
      </c>
      <c r="M2221" s="2" t="s">
        <v>571</v>
      </c>
      <c r="N2221" s="5">
        <v>35</v>
      </c>
      <c r="O2221" s="5">
        <v>35</v>
      </c>
      <c r="P2221" s="5">
        <v>20</v>
      </c>
      <c r="Q2221" s="2" t="s">
        <v>18</v>
      </c>
      <c r="R2221" s="5">
        <v>300</v>
      </c>
      <c r="S2221" s="5">
        <v>3.07</v>
      </c>
      <c r="T2221" s="9"/>
      <c r="U2221" s="9"/>
      <c r="V2221" s="5"/>
      <c r="W2221" s="6" t="s">
        <v>3104</v>
      </c>
    </row>
    <row r="2222" spans="1:23" x14ac:dyDescent="0.15">
      <c r="A2222" s="2" t="s">
        <v>299</v>
      </c>
      <c r="B2222" s="2" t="s">
        <v>3939</v>
      </c>
      <c r="C2222" s="2" t="s">
        <v>1024</v>
      </c>
      <c r="D2222" s="2" t="s">
        <v>394</v>
      </c>
      <c r="E2222" s="1" t="s">
        <v>1023</v>
      </c>
      <c r="F2222" s="2" t="s">
        <v>374</v>
      </c>
      <c r="G2222" s="2" t="s">
        <v>374</v>
      </c>
      <c r="H2222" s="2" t="str">
        <f t="shared" si="74"/>
        <v>C</v>
      </c>
      <c r="I2222" s="5">
        <v>38.799999999999997</v>
      </c>
      <c r="J2222" s="5">
        <v>9230</v>
      </c>
      <c r="K2222" s="7"/>
      <c r="L2222" s="7">
        <v>10.33</v>
      </c>
      <c r="M2222" s="2" t="s">
        <v>571</v>
      </c>
      <c r="N2222" s="5">
        <v>41.48</v>
      </c>
      <c r="O2222" s="5">
        <v>41.48</v>
      </c>
      <c r="P2222" s="5">
        <v>37.71</v>
      </c>
      <c r="Q2222" s="2" t="s">
        <v>18</v>
      </c>
      <c r="R2222" s="5">
        <v>389.7</v>
      </c>
      <c r="S2222" s="5">
        <v>4.22</v>
      </c>
      <c r="T2222" s="7">
        <f>MEDIAN(1,3)</f>
        <v>2</v>
      </c>
      <c r="U2222" s="2" t="str">
        <f>IF(T2222&lt;=1, "1",IF(AND(T2222&gt;1,T2222&lt;4), "2-3", "+4"))</f>
        <v>2-3</v>
      </c>
      <c r="V2222" s="33">
        <f>T2222*S2222</f>
        <v>8.44</v>
      </c>
      <c r="W2222" s="6" t="s">
        <v>2611</v>
      </c>
    </row>
    <row r="2223" spans="1:23" x14ac:dyDescent="0.15">
      <c r="A2223" s="2" t="s">
        <v>299</v>
      </c>
      <c r="B2223" s="2" t="s">
        <v>3939</v>
      </c>
      <c r="C2223" s="2" t="s">
        <v>1024</v>
      </c>
      <c r="D2223" s="2" t="s">
        <v>394</v>
      </c>
      <c r="E2223" s="1" t="s">
        <v>1023</v>
      </c>
      <c r="F2223" s="2" t="s">
        <v>2242</v>
      </c>
      <c r="G2223" s="2" t="s">
        <v>374</v>
      </c>
      <c r="H2223" s="2" t="str">
        <f t="shared" si="74"/>
        <v>C</v>
      </c>
      <c r="I2223" s="5">
        <v>41.1</v>
      </c>
      <c r="J2223" s="5">
        <v>10620</v>
      </c>
      <c r="K2223" s="5"/>
      <c r="L2223" s="5">
        <v>11.56</v>
      </c>
      <c r="M2223" s="2" t="s">
        <v>571</v>
      </c>
      <c r="N2223" s="5">
        <v>41.48</v>
      </c>
      <c r="O2223" s="5">
        <v>41.48</v>
      </c>
      <c r="P2223" s="5">
        <v>37.713999999999999</v>
      </c>
      <c r="Q2223" s="2" t="s">
        <v>18</v>
      </c>
      <c r="R2223" s="5">
        <v>435.8</v>
      </c>
      <c r="S2223" s="5">
        <v>4.0999999999999996</v>
      </c>
      <c r="T2223" s="2" t="s">
        <v>382</v>
      </c>
      <c r="U2223" s="40" t="s">
        <v>395</v>
      </c>
      <c r="V2223" s="5"/>
      <c r="W2223" s="6" t="s">
        <v>2611</v>
      </c>
    </row>
    <row r="2224" spans="1:23" x14ac:dyDescent="0.15">
      <c r="A2224" s="2" t="s">
        <v>299</v>
      </c>
      <c r="B2224" s="2" t="s">
        <v>3939</v>
      </c>
      <c r="C2224" s="2" t="s">
        <v>1024</v>
      </c>
      <c r="D2224" s="2" t="s">
        <v>394</v>
      </c>
      <c r="E2224" s="1" t="s">
        <v>3526</v>
      </c>
      <c r="F2224" s="2" t="s">
        <v>374</v>
      </c>
      <c r="G2224" s="2" t="s">
        <v>374</v>
      </c>
      <c r="H2224" s="2" t="str">
        <f t="shared" si="74"/>
        <v>C</v>
      </c>
      <c r="I2224" s="5">
        <v>40.53</v>
      </c>
      <c r="J2224" s="5">
        <v>9726.7000000000007</v>
      </c>
      <c r="K2224" s="5"/>
      <c r="L2224" s="5">
        <v>15</v>
      </c>
      <c r="M2224" s="2" t="s">
        <v>571</v>
      </c>
      <c r="N2224" s="5"/>
      <c r="O2224" s="5"/>
      <c r="P2224" s="5"/>
      <c r="R2224" s="5"/>
      <c r="S2224" s="5"/>
      <c r="T2224" s="5">
        <v>3</v>
      </c>
      <c r="U2224" s="2" t="str">
        <f>IF(T2224&lt;=1, "1",IF(AND(T2224&gt;1,T2224&lt;4), "2-3", "+4"))</f>
        <v>2-3</v>
      </c>
      <c r="V2224" s="5"/>
      <c r="W2224" s="6" t="s">
        <v>3106</v>
      </c>
    </row>
    <row r="2225" spans="1:24" x14ac:dyDescent="0.15">
      <c r="A2225" s="2" t="s">
        <v>299</v>
      </c>
      <c r="B2225" s="2" t="s">
        <v>3939</v>
      </c>
      <c r="C2225" s="2" t="s">
        <v>1024</v>
      </c>
      <c r="D2225" s="2" t="s">
        <v>394</v>
      </c>
      <c r="E2225" s="1" t="s">
        <v>1023</v>
      </c>
      <c r="F2225" s="2" t="s">
        <v>374</v>
      </c>
      <c r="G2225" s="2" t="s">
        <v>374</v>
      </c>
      <c r="H2225" s="2" t="str">
        <f t="shared" si="74"/>
        <v>C</v>
      </c>
      <c r="I2225" s="5"/>
      <c r="J2225" s="5"/>
      <c r="K2225" s="5"/>
      <c r="L2225" s="5">
        <v>14</v>
      </c>
      <c r="M2225" s="2" t="s">
        <v>571</v>
      </c>
      <c r="N2225" s="5">
        <v>51</v>
      </c>
      <c r="O2225" s="5">
        <v>43</v>
      </c>
      <c r="P2225" s="5">
        <f xml:space="preserve"> 0.231*N2225 + 1.131*O2225 - 22.671</f>
        <v>37.743000000000002</v>
      </c>
      <c r="Q2225" s="2" t="s">
        <v>376</v>
      </c>
      <c r="R2225" s="5">
        <f>P2225*L2225</f>
        <v>528.40200000000004</v>
      </c>
      <c r="S2225" s="5"/>
      <c r="V2225" s="5"/>
      <c r="W2225" s="6" t="s">
        <v>3250</v>
      </c>
    </row>
    <row r="2226" spans="1:24" x14ac:dyDescent="0.15">
      <c r="A2226" s="2" t="s">
        <v>299</v>
      </c>
      <c r="B2226" s="2" t="s">
        <v>3939</v>
      </c>
      <c r="C2226" s="2" t="s">
        <v>1024</v>
      </c>
      <c r="D2226" s="2" t="s">
        <v>394</v>
      </c>
      <c r="E2226" s="1" t="s">
        <v>1023</v>
      </c>
      <c r="F2226" s="2" t="s">
        <v>374</v>
      </c>
      <c r="G2226" s="2" t="s">
        <v>374</v>
      </c>
      <c r="H2226" s="2" t="str">
        <f t="shared" si="74"/>
        <v>C</v>
      </c>
      <c r="I2226" s="5">
        <v>49</v>
      </c>
      <c r="J2226" s="5">
        <v>24944</v>
      </c>
      <c r="K2226" s="5"/>
      <c r="L2226" s="5">
        <v>14</v>
      </c>
      <c r="M2226" s="2" t="s">
        <v>571</v>
      </c>
      <c r="N2226" s="5">
        <v>51</v>
      </c>
      <c r="O2226" s="5">
        <v>43</v>
      </c>
      <c r="P2226" s="5">
        <f xml:space="preserve"> (1.058*N2226) +(1.039*O2226) - 46.534</f>
        <v>52.101000000000006</v>
      </c>
      <c r="Q2226" s="2" t="s">
        <v>376</v>
      </c>
      <c r="R2226" s="5">
        <v>729.41</v>
      </c>
      <c r="S2226" s="5">
        <v>2.9239999999999999</v>
      </c>
      <c r="V2226" s="5"/>
      <c r="W2226" s="6" t="s">
        <v>2614</v>
      </c>
    </row>
    <row r="2227" spans="1:24" x14ac:dyDescent="0.15">
      <c r="A2227" s="2" t="s">
        <v>299</v>
      </c>
      <c r="B2227" s="2" t="s">
        <v>3939</v>
      </c>
      <c r="C2227" s="2" t="s">
        <v>1024</v>
      </c>
      <c r="D2227" s="2" t="s">
        <v>394</v>
      </c>
      <c r="E2227" s="1" t="s">
        <v>1023</v>
      </c>
      <c r="F2227" s="2" t="s">
        <v>1928</v>
      </c>
      <c r="G2227" s="2">
        <v>9</v>
      </c>
      <c r="H2227" s="2" t="s">
        <v>30</v>
      </c>
      <c r="I2227" s="5">
        <v>46</v>
      </c>
      <c r="J2227" s="5">
        <v>27000</v>
      </c>
      <c r="K2227" s="5"/>
      <c r="L2227" s="5">
        <v>14.25</v>
      </c>
      <c r="M2227" s="2" t="s">
        <v>571</v>
      </c>
      <c r="N2227" s="5">
        <v>51</v>
      </c>
      <c r="O2227" s="5">
        <v>49</v>
      </c>
      <c r="P2227" s="5">
        <v>71.53</v>
      </c>
      <c r="Q2227" s="2" t="s">
        <v>18</v>
      </c>
      <c r="R2227" s="5">
        <v>1019.3</v>
      </c>
      <c r="S2227" s="5">
        <v>3.78</v>
      </c>
      <c r="T2227" s="9" t="s">
        <v>431</v>
      </c>
      <c r="U2227" s="9" t="s">
        <v>395</v>
      </c>
      <c r="V2227" s="5">
        <v>7.56</v>
      </c>
      <c r="W2227" s="6" t="s">
        <v>4126</v>
      </c>
    </row>
    <row r="2228" spans="1:24" x14ac:dyDescent="0.15">
      <c r="A2228" s="2" t="s">
        <v>299</v>
      </c>
      <c r="B2228" s="2" t="s">
        <v>3939</v>
      </c>
      <c r="C2228" s="2" t="s">
        <v>1024</v>
      </c>
      <c r="D2228" s="2" t="s">
        <v>394</v>
      </c>
      <c r="E2228" s="1" t="s">
        <v>1023</v>
      </c>
      <c r="F2228" s="2" t="s">
        <v>876</v>
      </c>
      <c r="G2228" s="2" t="s">
        <v>374</v>
      </c>
      <c r="H2228" s="2" t="str">
        <f t="shared" si="74"/>
        <v>C</v>
      </c>
      <c r="I2228" s="5"/>
      <c r="J2228" s="5"/>
      <c r="K2228" s="5"/>
      <c r="L2228" s="5">
        <v>12</v>
      </c>
      <c r="M2228" s="2" t="s">
        <v>571</v>
      </c>
      <c r="N2228" s="5"/>
      <c r="O2228" s="5"/>
      <c r="P2228" s="5"/>
      <c r="R2228" s="5"/>
      <c r="S2228" s="5"/>
      <c r="T2228" s="2" t="s">
        <v>634</v>
      </c>
      <c r="U2228" s="40" t="s">
        <v>4047</v>
      </c>
      <c r="V2228" s="5"/>
      <c r="W2228" s="6" t="s">
        <v>2612</v>
      </c>
    </row>
    <row r="2229" spans="1:24" x14ac:dyDescent="0.15">
      <c r="A2229" s="2" t="s">
        <v>299</v>
      </c>
      <c r="B2229" s="2" t="s">
        <v>3939</v>
      </c>
      <c r="C2229" s="2" t="s">
        <v>1024</v>
      </c>
      <c r="D2229" s="2" t="s">
        <v>394</v>
      </c>
      <c r="E2229" s="1" t="s">
        <v>1023</v>
      </c>
      <c r="F2229" s="2" t="s">
        <v>374</v>
      </c>
      <c r="G2229" s="2" t="s">
        <v>374</v>
      </c>
      <c r="H2229" s="2" t="str">
        <f t="shared" si="74"/>
        <v>C</v>
      </c>
      <c r="I2229" s="5">
        <v>48.26</v>
      </c>
      <c r="J2229" s="5">
        <v>11364</v>
      </c>
      <c r="K2229" s="5"/>
      <c r="L2229" s="5"/>
      <c r="M2229" s="2" t="s">
        <v>571</v>
      </c>
      <c r="N2229" s="5">
        <v>46</v>
      </c>
      <c r="O2229" s="5">
        <v>41</v>
      </c>
      <c r="P2229" s="5">
        <v>48.19</v>
      </c>
      <c r="Q2229" s="2" t="s">
        <v>18</v>
      </c>
      <c r="R2229" s="5"/>
      <c r="S2229" s="5"/>
      <c r="T2229" s="2" t="s">
        <v>122</v>
      </c>
      <c r="V2229" s="5"/>
      <c r="W2229" s="6" t="s">
        <v>2613</v>
      </c>
    </row>
    <row r="2230" spans="1:24" x14ac:dyDescent="0.15">
      <c r="A2230" s="2" t="s">
        <v>299</v>
      </c>
      <c r="B2230" s="2" t="s">
        <v>3939</v>
      </c>
      <c r="C2230" s="2" t="s">
        <v>1024</v>
      </c>
      <c r="D2230" s="2" t="s">
        <v>394</v>
      </c>
      <c r="E2230" s="1" t="s">
        <v>3526</v>
      </c>
      <c r="F2230" s="2" t="s">
        <v>374</v>
      </c>
      <c r="G2230" s="2" t="s">
        <v>374</v>
      </c>
      <c r="H2230" s="2" t="str">
        <f t="shared" si="74"/>
        <v>C</v>
      </c>
      <c r="I2230" s="5">
        <v>44</v>
      </c>
      <c r="J2230" s="5">
        <v>12850</v>
      </c>
      <c r="K2230" s="5"/>
      <c r="L2230" s="7">
        <v>15</v>
      </c>
      <c r="M2230" s="2" t="s">
        <v>571</v>
      </c>
      <c r="N2230" s="5">
        <f>MEDIAN(42,48.8)</f>
        <v>45.4</v>
      </c>
      <c r="O2230" s="5">
        <f>MEDIAN(39.5,45)</f>
        <v>42.25</v>
      </c>
      <c r="P2230" s="5">
        <v>41.6</v>
      </c>
      <c r="Q2230" s="2" t="s">
        <v>18</v>
      </c>
      <c r="R2230" s="5">
        <v>624</v>
      </c>
      <c r="S2230" s="5">
        <v>4.8600000000000003</v>
      </c>
      <c r="V2230" s="5"/>
      <c r="W2230" s="6" t="s">
        <v>3107</v>
      </c>
    </row>
    <row r="2231" spans="1:24" x14ac:dyDescent="0.15">
      <c r="A2231" s="2" t="s">
        <v>299</v>
      </c>
      <c r="B2231" s="2" t="s">
        <v>3939</v>
      </c>
      <c r="C2231" s="2" t="s">
        <v>1024</v>
      </c>
      <c r="D2231" s="2" t="s">
        <v>394</v>
      </c>
      <c r="E2231" s="1" t="s">
        <v>1023</v>
      </c>
      <c r="F2231" s="2" t="s">
        <v>374</v>
      </c>
      <c r="G2231" s="2" t="s">
        <v>374</v>
      </c>
      <c r="H2231" s="2" t="str">
        <f t="shared" si="74"/>
        <v>C</v>
      </c>
      <c r="I2231" s="5"/>
      <c r="J2231" s="5"/>
      <c r="K2231" s="5"/>
      <c r="L2231" s="5">
        <v>10</v>
      </c>
      <c r="M2231" s="2" t="s">
        <v>571</v>
      </c>
      <c r="N2231" s="5">
        <v>35</v>
      </c>
      <c r="O2231" s="5">
        <v>30</v>
      </c>
      <c r="P2231" s="5">
        <v>17.68</v>
      </c>
      <c r="Q2231" s="2" t="s">
        <v>376</v>
      </c>
      <c r="R2231" s="5">
        <v>176.76</v>
      </c>
      <c r="S2231" s="5"/>
      <c r="V2231" s="5"/>
      <c r="W2231" s="6" t="s">
        <v>3297</v>
      </c>
    </row>
    <row r="2232" spans="1:24" x14ac:dyDescent="0.15">
      <c r="A2232" s="2" t="s">
        <v>299</v>
      </c>
      <c r="B2232" s="2" t="s">
        <v>3939</v>
      </c>
      <c r="C2232" s="2" t="s">
        <v>1024</v>
      </c>
      <c r="D2232" s="2" t="s">
        <v>394</v>
      </c>
      <c r="E2232" s="1" t="s">
        <v>3526</v>
      </c>
      <c r="F2232" s="2" t="s">
        <v>374</v>
      </c>
      <c r="G2232" s="2" t="s">
        <v>374</v>
      </c>
      <c r="H2232" s="2" t="str">
        <f t="shared" si="74"/>
        <v>C</v>
      </c>
      <c r="I2232" s="5">
        <v>40.72</v>
      </c>
      <c r="J2232" s="5">
        <v>10597</v>
      </c>
      <c r="K2232" s="5"/>
      <c r="L2232" s="7">
        <v>12.44</v>
      </c>
      <c r="M2232" s="2" t="s">
        <v>571</v>
      </c>
      <c r="N2232" s="5"/>
      <c r="O2232" s="5"/>
      <c r="P2232" s="5"/>
      <c r="R2232" s="5"/>
      <c r="S2232" s="5"/>
      <c r="V2232" s="5"/>
      <c r="W2232" s="6" t="s">
        <v>3108</v>
      </c>
    </row>
    <row r="2233" spans="1:24" x14ac:dyDescent="0.15">
      <c r="A2233" s="2" t="s">
        <v>299</v>
      </c>
      <c r="B2233" s="2" t="s">
        <v>3939</v>
      </c>
      <c r="C2233" s="2" t="s">
        <v>1024</v>
      </c>
      <c r="D2233" s="2" t="s">
        <v>394</v>
      </c>
      <c r="E2233" s="1" t="s">
        <v>1023</v>
      </c>
      <c r="F2233" s="2" t="s">
        <v>374</v>
      </c>
      <c r="G2233" s="2" t="s">
        <v>374</v>
      </c>
      <c r="H2233" s="2" t="str">
        <f t="shared" si="74"/>
        <v>C</v>
      </c>
      <c r="I2233" s="5">
        <v>46.9</v>
      </c>
      <c r="J2233" s="5">
        <v>19200</v>
      </c>
      <c r="K2233" s="5"/>
      <c r="L2233" s="5">
        <v>12.25</v>
      </c>
      <c r="M2233" s="2" t="s">
        <v>571</v>
      </c>
      <c r="N2233" s="5">
        <v>52.5</v>
      </c>
      <c r="O2233" s="5">
        <v>45.5</v>
      </c>
      <c r="P2233" s="5">
        <v>53</v>
      </c>
      <c r="Q2233" s="2" t="s">
        <v>18</v>
      </c>
      <c r="R2233" s="5">
        <v>649.25</v>
      </c>
      <c r="S2233" s="5">
        <v>3.3820000000000001</v>
      </c>
      <c r="T2233" s="2" t="s">
        <v>893</v>
      </c>
      <c r="U2233" s="40" t="s">
        <v>4047</v>
      </c>
      <c r="V2233" s="5"/>
      <c r="W2233" s="6" t="s">
        <v>2616</v>
      </c>
    </row>
    <row r="2234" spans="1:24" x14ac:dyDescent="0.15">
      <c r="A2234" s="2" t="s">
        <v>299</v>
      </c>
      <c r="B2234" s="2" t="s">
        <v>3939</v>
      </c>
      <c r="C2234" s="2" t="s">
        <v>1024</v>
      </c>
      <c r="D2234" s="2" t="s">
        <v>394</v>
      </c>
      <c r="E2234" s="1" t="s">
        <v>3526</v>
      </c>
      <c r="F2234" s="2" t="s">
        <v>374</v>
      </c>
      <c r="G2234" s="2" t="s">
        <v>374</v>
      </c>
      <c r="H2234" s="2" t="str">
        <f t="shared" si="74"/>
        <v>C</v>
      </c>
      <c r="I2234" s="5"/>
      <c r="J2234" s="5"/>
      <c r="K2234" s="7">
        <f>MEDIAN(10,15)</f>
        <v>12.5</v>
      </c>
      <c r="L2234" s="5"/>
      <c r="M2234" s="2" t="s">
        <v>571</v>
      </c>
      <c r="N2234" s="5">
        <v>45</v>
      </c>
      <c r="O2234" s="5">
        <v>32</v>
      </c>
      <c r="P2234" s="5">
        <f xml:space="preserve"> (1.058*N2234) +(1.039*O2234) - 46.534</f>
        <v>34.324000000000005</v>
      </c>
      <c r="Q2234" s="2" t="s">
        <v>376</v>
      </c>
      <c r="R2234" s="5"/>
      <c r="S2234" s="5"/>
      <c r="T2234" s="12" t="s">
        <v>416</v>
      </c>
      <c r="U2234" s="40" t="s">
        <v>4047</v>
      </c>
      <c r="V2234" s="5"/>
      <c r="W2234" s="6" t="s">
        <v>2609</v>
      </c>
    </row>
    <row r="2235" spans="1:24" ht="12.75" customHeight="1" x14ac:dyDescent="0.15">
      <c r="A2235" s="2" t="s">
        <v>299</v>
      </c>
      <c r="B2235" s="2" t="s">
        <v>3939</v>
      </c>
      <c r="C2235" s="2" t="s">
        <v>1024</v>
      </c>
      <c r="D2235" s="2" t="s">
        <v>394</v>
      </c>
      <c r="E2235" s="1" t="s">
        <v>3526</v>
      </c>
      <c r="F2235" s="2" t="s">
        <v>374</v>
      </c>
      <c r="G2235" s="2" t="s">
        <v>374</v>
      </c>
      <c r="H2235" s="2" t="str">
        <f t="shared" si="74"/>
        <v>C</v>
      </c>
      <c r="I2235" s="5"/>
      <c r="J2235" s="5"/>
      <c r="K2235" s="5"/>
      <c r="L2235" s="5">
        <v>12</v>
      </c>
      <c r="M2235" s="2" t="s">
        <v>571</v>
      </c>
      <c r="N2235" s="5">
        <v>46.33</v>
      </c>
      <c r="O2235" s="5">
        <v>42.07</v>
      </c>
      <c r="P2235" s="5">
        <v>46.18</v>
      </c>
      <c r="Q2235" s="2" t="s">
        <v>18</v>
      </c>
      <c r="R2235" s="5">
        <v>554.16</v>
      </c>
      <c r="S2235" s="5"/>
      <c r="T2235" s="12"/>
      <c r="U2235" s="12"/>
      <c r="V2235" s="5"/>
      <c r="W2235" s="6" t="s">
        <v>2610</v>
      </c>
    </row>
    <row r="2236" spans="1:24" x14ac:dyDescent="0.15">
      <c r="A2236" s="2" t="s">
        <v>299</v>
      </c>
      <c r="B2236" s="2" t="s">
        <v>3939</v>
      </c>
      <c r="C2236" s="2" t="s">
        <v>1024</v>
      </c>
      <c r="D2236" s="2" t="s">
        <v>394</v>
      </c>
      <c r="E2236" s="1" t="s">
        <v>1023</v>
      </c>
      <c r="F2236" s="2" t="s">
        <v>374</v>
      </c>
      <c r="G2236" s="2" t="s">
        <v>374</v>
      </c>
      <c r="H2236" s="2" t="str">
        <f t="shared" si="74"/>
        <v>C</v>
      </c>
      <c r="I2236" s="5">
        <f>EXP((LN(J2236/0.62044))/2.7241)</f>
        <v>31.210459442541332</v>
      </c>
      <c r="J2236" s="5">
        <v>7300</v>
      </c>
      <c r="K2236" s="5">
        <v>8</v>
      </c>
      <c r="L2236" s="5">
        <v>11</v>
      </c>
      <c r="M2236" s="2" t="s">
        <v>571</v>
      </c>
      <c r="N2236" s="5"/>
      <c r="O2236" s="5"/>
      <c r="P2236" s="5"/>
      <c r="R2236" s="5"/>
      <c r="S2236" s="5"/>
      <c r="T2236" s="5">
        <v>3</v>
      </c>
      <c r="U2236" s="2" t="str">
        <f>IF(T2236&lt;=1, "1",IF(AND(T2236&gt;1,T2236&lt;4), "2-3", "+4"))</f>
        <v>2-3</v>
      </c>
      <c r="V2236" s="5"/>
      <c r="W2236" s="6" t="s">
        <v>2615</v>
      </c>
    </row>
    <row r="2237" spans="1:24" x14ac:dyDescent="0.15">
      <c r="A2237" s="2" t="s">
        <v>299</v>
      </c>
      <c r="B2237" s="2" t="s">
        <v>3939</v>
      </c>
      <c r="C2237" s="2" t="s">
        <v>1024</v>
      </c>
      <c r="D2237" s="2" t="s">
        <v>394</v>
      </c>
      <c r="E2237" s="1" t="s">
        <v>1023</v>
      </c>
      <c r="F2237" s="2" t="s">
        <v>374</v>
      </c>
      <c r="G2237" s="2" t="s">
        <v>374</v>
      </c>
      <c r="H2237" s="2" t="str">
        <f t="shared" si="74"/>
        <v>C</v>
      </c>
      <c r="I2237" s="5"/>
      <c r="J2237" s="5"/>
      <c r="K2237" s="7"/>
      <c r="L2237" s="5">
        <v>9.58</v>
      </c>
      <c r="M2237" s="2" t="s">
        <v>571</v>
      </c>
      <c r="N2237" s="5">
        <v>43</v>
      </c>
      <c r="O2237" s="5">
        <v>40</v>
      </c>
      <c r="P2237" s="5">
        <v>38.4</v>
      </c>
      <c r="Q2237" s="2" t="s">
        <v>18</v>
      </c>
      <c r="R2237" s="5">
        <v>367.87</v>
      </c>
      <c r="S2237" s="5"/>
      <c r="T2237" s="7"/>
      <c r="U2237" s="12"/>
      <c r="V2237" s="5"/>
      <c r="W2237" s="6" t="s">
        <v>2618</v>
      </c>
    </row>
    <row r="2238" spans="1:24" x14ac:dyDescent="0.15">
      <c r="A2238" s="1" t="s">
        <v>299</v>
      </c>
      <c r="B2238" s="1" t="s">
        <v>3939</v>
      </c>
      <c r="C2238" s="1" t="s">
        <v>1040</v>
      </c>
      <c r="D2238" s="1" t="s">
        <v>496</v>
      </c>
      <c r="E2238" s="1" t="s">
        <v>3527</v>
      </c>
      <c r="F2238" s="1" t="s">
        <v>70</v>
      </c>
      <c r="G2238" s="1">
        <v>38.630000000000003</v>
      </c>
      <c r="H2238" s="1" t="str">
        <f t="shared" si="74"/>
        <v>W</v>
      </c>
      <c r="I2238" s="8">
        <v>20.75</v>
      </c>
      <c r="J2238" s="8">
        <v>1863.1</v>
      </c>
      <c r="K2238" s="8"/>
      <c r="L2238" s="8">
        <v>2.33</v>
      </c>
      <c r="M2238" s="8" t="s">
        <v>571</v>
      </c>
      <c r="N2238" s="8">
        <v>35.47</v>
      </c>
      <c r="O2238" s="8">
        <v>31.42</v>
      </c>
      <c r="P2238" s="8">
        <v>18.329999999999998</v>
      </c>
      <c r="Q2238" s="1" t="s">
        <v>18</v>
      </c>
      <c r="R2238" s="8">
        <v>42.71</v>
      </c>
      <c r="S2238" s="8">
        <v>2.42</v>
      </c>
      <c r="T2238" s="8"/>
      <c r="U2238" s="1"/>
      <c r="V2238" s="8"/>
      <c r="W2238" s="3" t="s">
        <v>4010</v>
      </c>
      <c r="X2238" s="1"/>
    </row>
    <row r="2239" spans="1:24" x14ac:dyDescent="0.15">
      <c r="A2239" s="2" t="s">
        <v>299</v>
      </c>
      <c r="B2239" s="2" t="s">
        <v>3939</v>
      </c>
      <c r="C2239" s="2" t="s">
        <v>1040</v>
      </c>
      <c r="D2239" s="2" t="s">
        <v>496</v>
      </c>
      <c r="E2239" s="1" t="s">
        <v>4028</v>
      </c>
      <c r="F2239" s="2" t="s">
        <v>214</v>
      </c>
      <c r="G2239" s="2">
        <v>37</v>
      </c>
      <c r="H2239" s="2" t="str">
        <f t="shared" si="74"/>
        <v>W</v>
      </c>
      <c r="I2239" s="5">
        <v>10.82</v>
      </c>
      <c r="J2239" s="5">
        <v>906</v>
      </c>
      <c r="K2239" s="5">
        <v>8</v>
      </c>
      <c r="L2239" s="7">
        <v>3.5</v>
      </c>
      <c r="M2239" s="2" t="s">
        <v>571</v>
      </c>
      <c r="N2239" s="5">
        <v>33.700000000000003</v>
      </c>
      <c r="O2239" s="5">
        <v>28.3</v>
      </c>
      <c r="P2239" s="5">
        <v>14</v>
      </c>
      <c r="Q2239" s="2" t="s">
        <v>18</v>
      </c>
      <c r="R2239" s="5">
        <v>112</v>
      </c>
      <c r="S2239" s="5">
        <v>12.36</v>
      </c>
      <c r="T2239" s="5">
        <v>2.6</v>
      </c>
      <c r="U2239" s="2" t="str">
        <f>IF(T2239&lt;=1, "1",IF(AND(T2239&gt;1,T2239&lt;4), "2-3", "+4"))</f>
        <v>2-3</v>
      </c>
      <c r="V2239" s="5">
        <f>S2239*T2239</f>
        <v>32.136000000000003</v>
      </c>
      <c r="W2239" s="6" t="s">
        <v>3298</v>
      </c>
    </row>
    <row r="2240" spans="1:24" x14ac:dyDescent="0.15">
      <c r="A2240" s="2" t="s">
        <v>299</v>
      </c>
      <c r="B2240" s="2" t="s">
        <v>3939</v>
      </c>
      <c r="C2240" s="2" t="s">
        <v>1040</v>
      </c>
      <c r="D2240" s="2" t="s">
        <v>496</v>
      </c>
      <c r="E2240" s="1" t="s">
        <v>4028</v>
      </c>
      <c r="F2240" s="2" t="s">
        <v>214</v>
      </c>
      <c r="G2240" s="2">
        <v>37</v>
      </c>
      <c r="H2240" s="2" t="str">
        <f t="shared" si="74"/>
        <v>W</v>
      </c>
      <c r="I2240" s="5"/>
      <c r="J2240" s="5"/>
      <c r="K2240" s="5">
        <v>9</v>
      </c>
      <c r="L2240" s="5"/>
      <c r="M2240" s="2" t="s">
        <v>571</v>
      </c>
      <c r="N2240" s="5"/>
      <c r="O2240" s="5"/>
      <c r="P2240" s="5"/>
      <c r="R2240" s="5"/>
      <c r="S2240" s="5"/>
      <c r="T2240" s="5"/>
      <c r="V2240" s="5"/>
      <c r="W2240" s="6" t="s">
        <v>2607</v>
      </c>
    </row>
    <row r="2241" spans="1:23" x14ac:dyDescent="0.15">
      <c r="A2241" s="4" t="s">
        <v>299</v>
      </c>
      <c r="B2241" s="2" t="s">
        <v>3939</v>
      </c>
      <c r="C2241" s="4" t="s">
        <v>1040</v>
      </c>
      <c r="D2241" s="4" t="s">
        <v>496</v>
      </c>
      <c r="E2241" s="1" t="s">
        <v>3824</v>
      </c>
      <c r="F2241" s="4" t="s">
        <v>3917</v>
      </c>
      <c r="G2241" s="4"/>
      <c r="H2241" s="2" t="s">
        <v>3887</v>
      </c>
      <c r="I2241" s="5"/>
      <c r="J2241" s="5"/>
      <c r="K2241" s="33">
        <v>12.5</v>
      </c>
      <c r="L2241" s="33"/>
      <c r="M2241" s="2" t="s">
        <v>571</v>
      </c>
      <c r="N2241" s="33"/>
      <c r="O2241" s="5"/>
      <c r="P2241" s="5"/>
      <c r="R2241" s="5"/>
      <c r="S2241" s="5"/>
      <c r="T2241" s="5"/>
      <c r="V2241" s="5"/>
      <c r="W2241" s="10" t="s">
        <v>1874</v>
      </c>
    </row>
    <row r="2242" spans="1:23" x14ac:dyDescent="0.15">
      <c r="A2242" s="2" t="s">
        <v>299</v>
      </c>
      <c r="B2242" s="2" t="s">
        <v>3939</v>
      </c>
      <c r="C2242" s="2" t="s">
        <v>1040</v>
      </c>
      <c r="D2242" s="2" t="s">
        <v>496</v>
      </c>
      <c r="E2242" s="1" t="s">
        <v>3824</v>
      </c>
      <c r="F2242" s="2" t="s">
        <v>374</v>
      </c>
      <c r="G2242" s="2" t="s">
        <v>374</v>
      </c>
      <c r="H2242" s="2" t="str">
        <f t="shared" si="74"/>
        <v>C</v>
      </c>
      <c r="I2242" s="5"/>
      <c r="J2242" s="5"/>
      <c r="K2242" s="7"/>
      <c r="L2242" s="5"/>
      <c r="M2242" s="2" t="s">
        <v>571</v>
      </c>
      <c r="N2242" s="5">
        <v>33.65</v>
      </c>
      <c r="O2242" s="5">
        <v>25.92</v>
      </c>
      <c r="P2242" s="5">
        <v>4.79</v>
      </c>
      <c r="Q2242" s="2" t="s">
        <v>18</v>
      </c>
      <c r="R2242" s="5"/>
      <c r="S2242" s="5"/>
      <c r="T2242" s="7"/>
      <c r="U2242" s="12"/>
      <c r="V2242" s="5"/>
      <c r="W2242" s="6" t="s">
        <v>3299</v>
      </c>
    </row>
    <row r="2243" spans="1:23" x14ac:dyDescent="0.15">
      <c r="A2243" s="2" t="s">
        <v>299</v>
      </c>
      <c r="B2243" s="2" t="s">
        <v>3939</v>
      </c>
      <c r="C2243" s="2" t="s">
        <v>1040</v>
      </c>
      <c r="D2243" s="2" t="s">
        <v>496</v>
      </c>
      <c r="E2243" s="1" t="s">
        <v>3527</v>
      </c>
      <c r="F2243" s="2" t="s">
        <v>374</v>
      </c>
      <c r="G2243" s="2" t="s">
        <v>374</v>
      </c>
      <c r="H2243" s="2" t="str">
        <f t="shared" si="74"/>
        <v>C</v>
      </c>
      <c r="I2243" s="5"/>
      <c r="J2243" s="5"/>
      <c r="K2243" s="5"/>
      <c r="L2243" s="7">
        <f>MEDIAN(6,11)</f>
        <v>8.5</v>
      </c>
      <c r="M2243" s="2" t="s">
        <v>571</v>
      </c>
      <c r="N2243" s="5"/>
      <c r="O2243" s="5"/>
      <c r="P2243" s="7">
        <f>MEDIAN(12,21)</f>
        <v>16.5</v>
      </c>
      <c r="Q2243" s="2" t="s">
        <v>18</v>
      </c>
      <c r="R2243" s="5">
        <f>P2243*L2243</f>
        <v>140.25</v>
      </c>
      <c r="S2243" s="5"/>
      <c r="T2243" s="7">
        <f>MEDIAN(2,3)</f>
        <v>2.5</v>
      </c>
      <c r="U2243" s="2" t="str">
        <f>IF(T2243&lt;=1, "1",IF(AND(T2243&gt;1,T2243&lt;4), "2-3", "+4"))</f>
        <v>2-3</v>
      </c>
      <c r="V2243" s="5"/>
      <c r="W2243" s="6" t="s">
        <v>3572</v>
      </c>
    </row>
    <row r="2244" spans="1:23" x14ac:dyDescent="0.15">
      <c r="A2244" s="2" t="s">
        <v>299</v>
      </c>
      <c r="B2244" s="2" t="s">
        <v>3939</v>
      </c>
      <c r="C2244" s="2" t="s">
        <v>1040</v>
      </c>
      <c r="D2244" s="2" t="s">
        <v>496</v>
      </c>
      <c r="E2244" s="1" t="s">
        <v>4028</v>
      </c>
      <c r="F2244" s="2" t="s">
        <v>214</v>
      </c>
      <c r="G2244" s="2">
        <v>37</v>
      </c>
      <c r="H2244" s="2" t="str">
        <f t="shared" ref="H2244:H2293" si="75">IF(G2244="captive","C","W")</f>
        <v>W</v>
      </c>
      <c r="I2244" s="5">
        <f>169.7/10</f>
        <v>16.97</v>
      </c>
      <c r="J2244" s="5">
        <v>1092.5999999999999</v>
      </c>
      <c r="K2244" s="5"/>
      <c r="L2244" s="5">
        <v>3.48</v>
      </c>
      <c r="M2244" s="2" t="s">
        <v>571</v>
      </c>
      <c r="N2244" s="5">
        <v>33.869999999999997</v>
      </c>
      <c r="O2244" s="5">
        <v>27.97</v>
      </c>
      <c r="P2244" s="5">
        <v>14.42</v>
      </c>
      <c r="Q2244" s="2" t="s">
        <v>18</v>
      </c>
      <c r="R2244" s="5">
        <v>47.33</v>
      </c>
      <c r="S2244" s="5">
        <v>4.33</v>
      </c>
      <c r="T2244" s="5">
        <v>2.4700000000000002</v>
      </c>
      <c r="U2244" s="2" t="str">
        <f>IF(T2244&lt;=1, "1",IF(AND(T2244&gt;1,T2244&lt;4), "2-3", "+4"))</f>
        <v>2-3</v>
      </c>
      <c r="V2244" s="5">
        <f>S2244*T2244</f>
        <v>10.695100000000002</v>
      </c>
      <c r="W2244" s="6" t="s">
        <v>2606</v>
      </c>
    </row>
    <row r="2245" spans="1:23" x14ac:dyDescent="0.15">
      <c r="A2245" s="2" t="s">
        <v>299</v>
      </c>
      <c r="B2245" s="2" t="s">
        <v>3939</v>
      </c>
      <c r="C2245" s="2" t="s">
        <v>1040</v>
      </c>
      <c r="D2245" s="2" t="s">
        <v>496</v>
      </c>
      <c r="E2245" s="1" t="s">
        <v>4028</v>
      </c>
      <c r="F2245" s="4" t="s">
        <v>338</v>
      </c>
      <c r="G2245" s="4">
        <v>37</v>
      </c>
      <c r="H2245" s="2" t="str">
        <f t="shared" si="75"/>
        <v>W</v>
      </c>
      <c r="I2245" s="33"/>
      <c r="J2245" s="33"/>
      <c r="K2245" s="33"/>
      <c r="L2245" s="33">
        <v>3.5</v>
      </c>
      <c r="M2245" s="2" t="s">
        <v>571</v>
      </c>
      <c r="N2245" s="5">
        <f>(P2245+29.651)/1.3481</f>
        <v>32.528002373711146</v>
      </c>
      <c r="O2245" s="5">
        <f>(P2245 + 35.622)/1.9126</f>
        <v>26.049356896371432</v>
      </c>
      <c r="P2245" s="5">
        <v>14.2</v>
      </c>
      <c r="Q2245" s="2" t="s">
        <v>18</v>
      </c>
      <c r="R2245" s="5">
        <f>P2245*L2245</f>
        <v>49.699999999999996</v>
      </c>
      <c r="S2245" s="5"/>
      <c r="T2245" s="5"/>
      <c r="V2245" s="5"/>
      <c r="W2245" s="10" t="s">
        <v>2127</v>
      </c>
    </row>
    <row r="2246" spans="1:23" x14ac:dyDescent="0.15">
      <c r="A2246" s="2" t="s">
        <v>299</v>
      </c>
      <c r="B2246" s="2" t="s">
        <v>3939</v>
      </c>
      <c r="C2246" s="2" t="s">
        <v>1040</v>
      </c>
      <c r="D2246" s="2" t="s">
        <v>496</v>
      </c>
      <c r="E2246" s="1" t="s">
        <v>4028</v>
      </c>
      <c r="F2246" s="2" t="s">
        <v>214</v>
      </c>
      <c r="G2246" s="2">
        <v>37</v>
      </c>
      <c r="H2246" s="2" t="str">
        <f t="shared" si="75"/>
        <v>W</v>
      </c>
      <c r="I2246" s="5"/>
      <c r="J2246" s="5"/>
      <c r="K2246" s="7">
        <f>MEDIAN(6,14)</f>
        <v>10</v>
      </c>
      <c r="L2246" s="5"/>
      <c r="M2246" s="2" t="s">
        <v>571</v>
      </c>
      <c r="N2246" s="5"/>
      <c r="O2246" s="5"/>
      <c r="P2246" s="5"/>
      <c r="R2246" s="5"/>
      <c r="S2246" s="5"/>
      <c r="T2246" s="5">
        <v>2.6</v>
      </c>
      <c r="U2246" s="2" t="str">
        <f>IF(T2246&lt;=1, "1",IF(AND(T2246&gt;1,T2246&lt;4), "2-3", "+4"))</f>
        <v>2-3</v>
      </c>
      <c r="V2246" s="5"/>
      <c r="W2246" s="6" t="s">
        <v>2605</v>
      </c>
    </row>
    <row r="2247" spans="1:23" x14ac:dyDescent="0.15">
      <c r="A2247" s="2" t="s">
        <v>299</v>
      </c>
      <c r="B2247" s="2" t="s">
        <v>3939</v>
      </c>
      <c r="C2247" s="2" t="s">
        <v>1040</v>
      </c>
      <c r="D2247" s="2" t="s">
        <v>496</v>
      </c>
      <c r="E2247" s="1" t="s">
        <v>4029</v>
      </c>
      <c r="F2247" s="2" t="s">
        <v>1041</v>
      </c>
      <c r="G2247" s="2">
        <v>36.83</v>
      </c>
      <c r="H2247" s="2" t="str">
        <f t="shared" si="75"/>
        <v>W</v>
      </c>
      <c r="I2247" s="5"/>
      <c r="J2247" s="5"/>
      <c r="K2247" s="5"/>
      <c r="L2247" s="5"/>
      <c r="M2247" s="2" t="s">
        <v>571</v>
      </c>
      <c r="N2247" s="5">
        <v>34.200000000000003</v>
      </c>
      <c r="O2247" s="5">
        <v>27.2</v>
      </c>
      <c r="P2247" s="5">
        <v>16.399999999999999</v>
      </c>
      <c r="Q2247" s="2" t="s">
        <v>18</v>
      </c>
      <c r="R2247" s="5"/>
      <c r="S2247" s="5"/>
      <c r="V2247" s="5"/>
      <c r="W2247" s="6" t="s">
        <v>3251</v>
      </c>
    </row>
    <row r="2248" spans="1:23" x14ac:dyDescent="0.15">
      <c r="A2248" s="2" t="s">
        <v>299</v>
      </c>
      <c r="B2248" s="2" t="s">
        <v>3939</v>
      </c>
      <c r="C2248" s="2" t="s">
        <v>1040</v>
      </c>
      <c r="D2248" s="2" t="s">
        <v>496</v>
      </c>
      <c r="E2248" s="1"/>
      <c r="F2248" s="2" t="s">
        <v>215</v>
      </c>
      <c r="G2248" s="2">
        <v>31.23</v>
      </c>
      <c r="H2248" s="2" t="str">
        <f t="shared" si="75"/>
        <v>W</v>
      </c>
      <c r="I2248" s="5"/>
      <c r="J2248" s="5"/>
      <c r="K2248" s="7">
        <f>MEDIAN(8,11)</f>
        <v>9.5</v>
      </c>
      <c r="L2248" s="5"/>
      <c r="M2248" s="2" t="s">
        <v>571</v>
      </c>
      <c r="N2248" s="5"/>
      <c r="O2248" s="5"/>
      <c r="P2248" s="5"/>
      <c r="R2248" s="5"/>
      <c r="S2248" s="5"/>
      <c r="V2248" s="5"/>
      <c r="W2248" s="6" t="s">
        <v>2603</v>
      </c>
    </row>
    <row r="2249" spans="1:23" x14ac:dyDescent="0.15">
      <c r="A2249" s="2" t="s">
        <v>299</v>
      </c>
      <c r="B2249" s="2" t="s">
        <v>3939</v>
      </c>
      <c r="C2249" s="2" t="s">
        <v>1040</v>
      </c>
      <c r="D2249" s="2" t="s">
        <v>496</v>
      </c>
      <c r="E2249" s="1" t="s">
        <v>3824</v>
      </c>
      <c r="F2249" s="2" t="s">
        <v>497</v>
      </c>
      <c r="G2249" s="2">
        <v>31.228000000000002</v>
      </c>
      <c r="H2249" s="2" t="str">
        <f t="shared" si="75"/>
        <v>W</v>
      </c>
      <c r="I2249" s="5">
        <v>17.2</v>
      </c>
      <c r="J2249" s="5">
        <v>1157.0999999999999</v>
      </c>
      <c r="K2249" s="7"/>
      <c r="L2249" s="5">
        <v>3.3</v>
      </c>
      <c r="M2249" s="2" t="s">
        <v>571</v>
      </c>
      <c r="N2249" s="5">
        <v>36.200000000000003</v>
      </c>
      <c r="O2249" s="5">
        <v>30</v>
      </c>
      <c r="P2249" s="5">
        <v>19.34</v>
      </c>
      <c r="Q2249" s="2" t="s">
        <v>18</v>
      </c>
      <c r="R2249" s="5">
        <v>63.82</v>
      </c>
      <c r="S2249" s="5">
        <v>5.516</v>
      </c>
      <c r="T2249" s="12" t="s">
        <v>495</v>
      </c>
      <c r="U2249" s="40" t="s">
        <v>395</v>
      </c>
      <c r="V2249" s="5"/>
      <c r="W2249" s="6" t="s">
        <v>2125</v>
      </c>
    </row>
    <row r="2250" spans="1:23" x14ac:dyDescent="0.15">
      <c r="A2250" s="2" t="s">
        <v>299</v>
      </c>
      <c r="B2250" s="2" t="s">
        <v>3939</v>
      </c>
      <c r="C2250" s="2" t="s">
        <v>1040</v>
      </c>
      <c r="D2250" s="2" t="s">
        <v>496</v>
      </c>
      <c r="E2250" s="1" t="s">
        <v>3527</v>
      </c>
      <c r="F2250" s="2" t="s">
        <v>374</v>
      </c>
      <c r="G2250" s="2" t="s">
        <v>374</v>
      </c>
      <c r="H2250" s="2" t="str">
        <f t="shared" si="75"/>
        <v>C</v>
      </c>
      <c r="I2250" s="5"/>
      <c r="J2250" s="5"/>
      <c r="K2250" s="5"/>
      <c r="L2250" s="5">
        <v>4.8</v>
      </c>
      <c r="M2250" s="2" t="s">
        <v>571</v>
      </c>
      <c r="N2250" s="5"/>
      <c r="O2250" s="5"/>
      <c r="P2250" s="5">
        <v>25</v>
      </c>
      <c r="Q2250" s="2" t="s">
        <v>18</v>
      </c>
      <c r="R2250" s="5">
        <v>120</v>
      </c>
      <c r="S2250" s="5"/>
      <c r="T2250" s="5">
        <v>2.36</v>
      </c>
      <c r="U2250" s="2" t="str">
        <f t="shared" ref="U2250:U2255" si="76">IF(T2250&lt;=1, "1",IF(AND(T2250&gt;1,T2250&lt;4), "2-3", "+4"))</f>
        <v>2-3</v>
      </c>
      <c r="V2250" s="5"/>
      <c r="W2250" s="6" t="s">
        <v>2593</v>
      </c>
    </row>
    <row r="2251" spans="1:23" x14ac:dyDescent="0.15">
      <c r="A2251" s="2" t="s">
        <v>299</v>
      </c>
      <c r="B2251" s="2" t="s">
        <v>3939</v>
      </c>
      <c r="C2251" s="2" t="s">
        <v>1040</v>
      </c>
      <c r="D2251" s="2" t="s">
        <v>496</v>
      </c>
      <c r="E2251" s="1" t="s">
        <v>3528</v>
      </c>
      <c r="F2251" s="2" t="s">
        <v>2243</v>
      </c>
      <c r="G2251" s="2" t="s">
        <v>374</v>
      </c>
      <c r="H2251" s="2" t="str">
        <f t="shared" si="75"/>
        <v>C</v>
      </c>
      <c r="I2251" s="5"/>
      <c r="J2251" s="5"/>
      <c r="K2251" s="5"/>
      <c r="L2251" s="5">
        <v>4</v>
      </c>
      <c r="M2251" s="2" t="s">
        <v>571</v>
      </c>
      <c r="N2251" s="5"/>
      <c r="O2251" s="5"/>
      <c r="P2251" s="5"/>
      <c r="R2251" s="5"/>
      <c r="S2251" s="5"/>
      <c r="T2251" s="7">
        <f>MEDIAN(1,3)</f>
        <v>2</v>
      </c>
      <c r="U2251" s="2" t="str">
        <f t="shared" si="76"/>
        <v>2-3</v>
      </c>
      <c r="V2251" s="5"/>
      <c r="W2251" s="6" t="s">
        <v>3449</v>
      </c>
    </row>
    <row r="2252" spans="1:23" x14ac:dyDescent="0.15">
      <c r="A2252" s="2" t="s">
        <v>299</v>
      </c>
      <c r="B2252" s="2" t="s">
        <v>3939</v>
      </c>
      <c r="C2252" s="2" t="s">
        <v>1040</v>
      </c>
      <c r="D2252" s="2" t="s">
        <v>496</v>
      </c>
      <c r="E2252" s="1" t="s">
        <v>3824</v>
      </c>
      <c r="F2252" s="2" t="s">
        <v>2243</v>
      </c>
      <c r="G2252" s="2">
        <v>31.89</v>
      </c>
      <c r="H2252" s="2" t="str">
        <f t="shared" si="75"/>
        <v>W</v>
      </c>
      <c r="I2252" s="5"/>
      <c r="J2252" s="5"/>
      <c r="K2252" s="7"/>
      <c r="L2252" s="5">
        <v>3.16</v>
      </c>
      <c r="M2252" s="2" t="s">
        <v>571</v>
      </c>
      <c r="N2252" s="5">
        <v>35.35</v>
      </c>
      <c r="O2252" s="5">
        <v>28.25</v>
      </c>
      <c r="P2252" s="5">
        <v>15.78</v>
      </c>
      <c r="Q2252" s="2" t="s">
        <v>18</v>
      </c>
      <c r="R2252" s="5">
        <v>49.86</v>
      </c>
      <c r="S2252" s="5"/>
      <c r="T2252" s="7">
        <f>MEDIAN(1,2)</f>
        <v>1.5</v>
      </c>
      <c r="U2252" s="2" t="str">
        <f t="shared" si="76"/>
        <v>2-3</v>
      </c>
      <c r="V2252" s="5"/>
      <c r="W2252" s="6" t="s">
        <v>2604</v>
      </c>
    </row>
    <row r="2253" spans="1:23" x14ac:dyDescent="0.15">
      <c r="A2253" s="2" t="s">
        <v>299</v>
      </c>
      <c r="B2253" s="2" t="s">
        <v>3939</v>
      </c>
      <c r="C2253" s="2" t="s">
        <v>1040</v>
      </c>
      <c r="D2253" s="2" t="s">
        <v>496</v>
      </c>
      <c r="E2253" s="1" t="s">
        <v>3824</v>
      </c>
      <c r="F2253" s="2" t="s">
        <v>2243</v>
      </c>
      <c r="G2253" s="2">
        <v>31.89</v>
      </c>
      <c r="H2253" s="2" t="str">
        <f t="shared" si="75"/>
        <v>W</v>
      </c>
      <c r="I2253" s="5"/>
      <c r="J2253" s="5"/>
      <c r="K2253" s="7">
        <f>MEDIAN(12,14)</f>
        <v>13</v>
      </c>
      <c r="L2253" s="5">
        <v>3.2</v>
      </c>
      <c r="M2253" s="2" t="s">
        <v>571</v>
      </c>
      <c r="N2253" s="5"/>
      <c r="O2253" s="5"/>
      <c r="P2253" s="5">
        <v>15.8</v>
      </c>
      <c r="Q2253" s="2" t="s">
        <v>18</v>
      </c>
      <c r="R2253" s="5">
        <v>50.56</v>
      </c>
      <c r="S2253" s="5"/>
      <c r="T2253" s="7">
        <f>MEDIAN(1,2)</f>
        <v>1.5</v>
      </c>
      <c r="U2253" s="2" t="str">
        <f t="shared" si="76"/>
        <v>2-3</v>
      </c>
      <c r="V2253" s="5"/>
      <c r="W2253" s="6" t="s">
        <v>2126</v>
      </c>
    </row>
    <row r="2254" spans="1:23" x14ac:dyDescent="0.15">
      <c r="A2254" s="2" t="s">
        <v>299</v>
      </c>
      <c r="B2254" s="2" t="s">
        <v>3939</v>
      </c>
      <c r="C2254" s="2" t="s">
        <v>1040</v>
      </c>
      <c r="D2254" s="2" t="s">
        <v>496</v>
      </c>
      <c r="E2254" s="1" t="s">
        <v>3528</v>
      </c>
      <c r="F2254" s="2" t="s">
        <v>2243</v>
      </c>
      <c r="G2254" s="2" t="s">
        <v>374</v>
      </c>
      <c r="H2254" s="2" t="str">
        <f t="shared" si="75"/>
        <v>C</v>
      </c>
      <c r="I2254" s="5"/>
      <c r="J2254" s="5"/>
      <c r="K2254" s="5"/>
      <c r="L2254" s="5">
        <v>3.8</v>
      </c>
      <c r="M2254" s="2" t="s">
        <v>571</v>
      </c>
      <c r="N2254" s="5"/>
      <c r="O2254" s="5"/>
      <c r="P2254" s="5">
        <v>15.8</v>
      </c>
      <c r="Q2254" s="2" t="s">
        <v>18</v>
      </c>
      <c r="R2254" s="5">
        <f>P2254*L2254</f>
        <v>60.04</v>
      </c>
      <c r="S2254" s="5"/>
      <c r="T2254" s="5">
        <v>1.18</v>
      </c>
      <c r="U2254" s="2" t="str">
        <f t="shared" si="76"/>
        <v>2-3</v>
      </c>
      <c r="V2254" s="5"/>
      <c r="W2254" s="6" t="s">
        <v>2126</v>
      </c>
    </row>
    <row r="2255" spans="1:23" x14ac:dyDescent="0.15">
      <c r="A2255" s="2" t="s">
        <v>299</v>
      </c>
      <c r="B2255" s="2" t="s">
        <v>3939</v>
      </c>
      <c r="C2255" s="2" t="s">
        <v>1040</v>
      </c>
      <c r="D2255" s="2" t="s">
        <v>496</v>
      </c>
      <c r="E2255" s="1" t="s">
        <v>3527</v>
      </c>
      <c r="F2255" s="2" t="s">
        <v>374</v>
      </c>
      <c r="G2255" s="2" t="s">
        <v>374</v>
      </c>
      <c r="H2255" s="2" t="str">
        <f t="shared" si="75"/>
        <v>C</v>
      </c>
      <c r="I2255" s="5">
        <v>21.5</v>
      </c>
      <c r="J2255" s="5">
        <v>2220</v>
      </c>
      <c r="K2255" s="5"/>
      <c r="L2255" s="5">
        <v>5.8</v>
      </c>
      <c r="M2255" s="2" t="s">
        <v>571</v>
      </c>
      <c r="N2255" s="5"/>
      <c r="O2255" s="5"/>
      <c r="P2255" s="5"/>
      <c r="R2255" s="5"/>
      <c r="S2255" s="5"/>
      <c r="T2255" s="7">
        <f>MEDIAN(2,3)</f>
        <v>2.5</v>
      </c>
      <c r="U2255" s="2" t="str">
        <f t="shared" si="76"/>
        <v>2-3</v>
      </c>
      <c r="V2255" s="5"/>
      <c r="W2255" s="6" t="s">
        <v>2602</v>
      </c>
    </row>
    <row r="2256" spans="1:23" x14ac:dyDescent="0.15">
      <c r="A2256" s="2" t="s">
        <v>299</v>
      </c>
      <c r="B2256" s="2" t="s">
        <v>3939</v>
      </c>
      <c r="C2256" s="2" t="s">
        <v>1040</v>
      </c>
      <c r="D2256" s="2" t="s">
        <v>496</v>
      </c>
      <c r="E2256" s="1" t="s">
        <v>3824</v>
      </c>
      <c r="F2256" s="2" t="s">
        <v>374</v>
      </c>
      <c r="G2256" s="2" t="s">
        <v>374</v>
      </c>
      <c r="H2256" s="2" t="str">
        <f t="shared" si="75"/>
        <v>C</v>
      </c>
      <c r="I2256" s="5"/>
      <c r="J2256" s="5"/>
      <c r="K2256" s="5"/>
      <c r="L2256" s="5">
        <v>6.27</v>
      </c>
      <c r="M2256" s="2" t="s">
        <v>571</v>
      </c>
      <c r="N2256" s="5">
        <v>33.299999999999997</v>
      </c>
      <c r="O2256" s="5">
        <v>28.2</v>
      </c>
      <c r="P2256" s="5">
        <f xml:space="preserve"> (0.661*N2256) + (1.201*O2256) - 38.855</f>
        <v>17.024500000000003</v>
      </c>
      <c r="Q2256" s="2" t="s">
        <v>376</v>
      </c>
      <c r="R2256" s="5">
        <v>106.74</v>
      </c>
      <c r="S2256" s="5"/>
      <c r="T2256" s="5"/>
      <c r="V2256" s="5"/>
      <c r="W2256" s="6" t="s">
        <v>3109</v>
      </c>
    </row>
    <row r="2257" spans="1:23" x14ac:dyDescent="0.15">
      <c r="A2257" s="2" t="s">
        <v>299</v>
      </c>
      <c r="B2257" s="2" t="s">
        <v>3939</v>
      </c>
      <c r="C2257" s="2" t="s">
        <v>1040</v>
      </c>
      <c r="D2257" s="2" t="s">
        <v>496</v>
      </c>
      <c r="E2257" s="1" t="s">
        <v>3527</v>
      </c>
      <c r="F2257" s="2" t="s">
        <v>374</v>
      </c>
      <c r="G2257" s="2" t="s">
        <v>374</v>
      </c>
      <c r="H2257" s="2" t="str">
        <f t="shared" si="75"/>
        <v>C</v>
      </c>
      <c r="I2257" s="5"/>
      <c r="J2257" s="5"/>
      <c r="K2257" s="5"/>
      <c r="L2257" s="5">
        <v>5</v>
      </c>
      <c r="M2257" s="2" t="s">
        <v>571</v>
      </c>
      <c r="N2257" s="5">
        <v>37.24</v>
      </c>
      <c r="O2257" s="5">
        <v>32</v>
      </c>
      <c r="P2257" s="5">
        <v>21.98</v>
      </c>
      <c r="Q2257" s="2" t="s">
        <v>18</v>
      </c>
      <c r="R2257" s="5">
        <v>109.9</v>
      </c>
      <c r="S2257" s="5"/>
      <c r="T2257" s="5"/>
      <c r="V2257" s="5"/>
      <c r="W2257" s="6" t="s">
        <v>2578</v>
      </c>
    </row>
    <row r="2258" spans="1:23" x14ac:dyDescent="0.15">
      <c r="A2258" s="2" t="s">
        <v>299</v>
      </c>
      <c r="B2258" s="2" t="s">
        <v>3939</v>
      </c>
      <c r="C2258" s="2" t="s">
        <v>1040</v>
      </c>
      <c r="D2258" s="2" t="s">
        <v>496</v>
      </c>
      <c r="E2258" s="1" t="s">
        <v>3824</v>
      </c>
      <c r="F2258" s="4" t="s">
        <v>338</v>
      </c>
      <c r="G2258" s="4">
        <v>37</v>
      </c>
      <c r="H2258" s="2" t="str">
        <f t="shared" si="75"/>
        <v>W</v>
      </c>
      <c r="I2258" s="33">
        <v>17.5</v>
      </c>
      <c r="J2258" s="5">
        <f>0.000257*((I2258*10)^2.94)</f>
        <v>1010.3340424626901</v>
      </c>
      <c r="K2258" s="5"/>
      <c r="L2258" s="5">
        <v>3.48</v>
      </c>
      <c r="M2258" s="4" t="s">
        <v>571</v>
      </c>
      <c r="N2258" s="33">
        <v>33.869999999999997</v>
      </c>
      <c r="O2258" s="33">
        <v>27.97</v>
      </c>
      <c r="P2258" s="5">
        <f xml:space="preserve"> (0.661*N2258) + (1.201*O2258) - 38.855</f>
        <v>17.125040000000006</v>
      </c>
      <c r="Q2258" s="2" t="s">
        <v>376</v>
      </c>
      <c r="R2258" s="5">
        <f>P2258*L2258</f>
        <v>59.59513920000002</v>
      </c>
      <c r="S2258" s="5">
        <f>(R2258/J2258)*100</f>
        <v>5.8985579714543528</v>
      </c>
      <c r="T2258" s="5">
        <v>2.4700000000000002</v>
      </c>
      <c r="U2258" s="2" t="str">
        <f>IF(T2258&lt;=1, "1",IF(AND(T2258&gt;1,T2258&lt;4), "2-3", "+4"))</f>
        <v>2-3</v>
      </c>
      <c r="V2258" s="5">
        <f>S2258*T2258</f>
        <v>14.569438189492253</v>
      </c>
      <c r="W2258" s="6" t="s">
        <v>2118</v>
      </c>
    </row>
    <row r="2259" spans="1:23" x14ac:dyDescent="0.15">
      <c r="A2259" s="2" t="s">
        <v>299</v>
      </c>
      <c r="B2259" s="2" t="s">
        <v>3939</v>
      </c>
      <c r="C2259" s="2" t="s">
        <v>1040</v>
      </c>
      <c r="D2259" s="2" t="s">
        <v>496</v>
      </c>
      <c r="E2259" s="1" t="s">
        <v>3824</v>
      </c>
      <c r="F2259" s="4" t="s">
        <v>3867</v>
      </c>
      <c r="G2259" s="4">
        <v>44.5</v>
      </c>
      <c r="H2259" s="2" t="str">
        <f t="shared" si="75"/>
        <v>W</v>
      </c>
      <c r="I2259" s="33">
        <v>20.3</v>
      </c>
      <c r="J2259" s="5">
        <f>0.000257*((I2259*10)^2.94)</f>
        <v>1563.0449758037855</v>
      </c>
      <c r="K2259" s="5"/>
      <c r="L2259" s="5"/>
      <c r="M2259" s="4" t="s">
        <v>571</v>
      </c>
      <c r="N2259" s="33">
        <v>42</v>
      </c>
      <c r="O2259" s="33">
        <v>22</v>
      </c>
      <c r="P2259" s="5">
        <f xml:space="preserve"> (0.661*N2259) + (1.201*O2259) - 38.855</f>
        <v>15.329000000000001</v>
      </c>
      <c r="Q2259" s="2" t="s">
        <v>376</v>
      </c>
      <c r="R2259" s="5"/>
      <c r="S2259" s="5"/>
      <c r="T2259" s="5"/>
      <c r="V2259" s="5"/>
      <c r="W2259" s="6" t="s">
        <v>2121</v>
      </c>
    </row>
    <row r="2260" spans="1:23" x14ac:dyDescent="0.15">
      <c r="A2260" s="2" t="s">
        <v>299</v>
      </c>
      <c r="B2260" s="2" t="s">
        <v>3939</v>
      </c>
      <c r="C2260" s="2" t="s">
        <v>1040</v>
      </c>
      <c r="D2260" s="2" t="s">
        <v>496</v>
      </c>
      <c r="E2260" s="1" t="s">
        <v>3824</v>
      </c>
      <c r="F2260" s="4" t="s">
        <v>341</v>
      </c>
      <c r="G2260" s="4">
        <v>40.43</v>
      </c>
      <c r="H2260" s="2" t="str">
        <f t="shared" si="75"/>
        <v>W</v>
      </c>
      <c r="I2260" s="33">
        <v>18.899999999999999</v>
      </c>
      <c r="J2260" s="5">
        <v>1430</v>
      </c>
      <c r="K2260" s="5"/>
      <c r="L2260" s="5">
        <v>4.5</v>
      </c>
      <c r="M2260" s="4" t="s">
        <v>571</v>
      </c>
      <c r="N2260" s="33">
        <v>35.4</v>
      </c>
      <c r="O2260" s="33">
        <v>29.2</v>
      </c>
      <c r="P2260" s="5">
        <v>17.5</v>
      </c>
      <c r="Q2260" s="2" t="s">
        <v>18</v>
      </c>
      <c r="R2260" s="5">
        <f>P2260*L2260</f>
        <v>78.75</v>
      </c>
      <c r="S2260" s="5">
        <f>(R2260/J2260)*100</f>
        <v>5.5069930069930075</v>
      </c>
      <c r="T2260" s="5">
        <v>2.8</v>
      </c>
      <c r="U2260" s="2" t="str">
        <f>IF(T2260&lt;=1, "1",IF(AND(T2260&gt;1,T2260&lt;4), "2-3", "+4"))</f>
        <v>2-3</v>
      </c>
      <c r="V2260" s="5">
        <f>S2260*T2260</f>
        <v>15.41958041958042</v>
      </c>
      <c r="W2260" s="6" t="s">
        <v>2122</v>
      </c>
    </row>
    <row r="2261" spans="1:23" x14ac:dyDescent="0.15">
      <c r="A2261" s="2" t="s">
        <v>299</v>
      </c>
      <c r="B2261" s="2" t="s">
        <v>3939</v>
      </c>
      <c r="C2261" s="2" t="s">
        <v>1040</v>
      </c>
      <c r="D2261" s="2" t="s">
        <v>496</v>
      </c>
      <c r="E2261" s="1" t="s">
        <v>3824</v>
      </c>
      <c r="F2261" s="4" t="s">
        <v>342</v>
      </c>
      <c r="G2261" s="4">
        <v>45.2</v>
      </c>
      <c r="H2261" s="2" t="str">
        <f t="shared" si="75"/>
        <v>W</v>
      </c>
      <c r="I2261" s="33">
        <v>21</v>
      </c>
      <c r="J2261" s="5">
        <f>0.000257*((I2261*10)^2.94)</f>
        <v>1726.8628628098566</v>
      </c>
      <c r="K2261" s="5"/>
      <c r="L2261" s="5">
        <v>4.9000000000000004</v>
      </c>
      <c r="M2261" s="4" t="s">
        <v>571</v>
      </c>
      <c r="N2261" s="33">
        <v>36.65</v>
      </c>
      <c r="O2261" s="33">
        <v>30.65</v>
      </c>
      <c r="P2261" s="5">
        <f xml:space="preserve"> (0.661*N2261) + (1.201*O2261) - 38.855</f>
        <v>22.181300000000007</v>
      </c>
      <c r="Q2261" s="2" t="s">
        <v>376</v>
      </c>
      <c r="R2261" s="5">
        <f>P2261*L2261</f>
        <v>108.68837000000005</v>
      </c>
      <c r="S2261" s="5">
        <f>(R2261/J2261)*100</f>
        <v>6.293978076704267</v>
      </c>
      <c r="V2261" s="5"/>
      <c r="W2261" s="6" t="s">
        <v>2123</v>
      </c>
    </row>
    <row r="2262" spans="1:23" x14ac:dyDescent="0.15">
      <c r="A2262" s="2" t="s">
        <v>299</v>
      </c>
      <c r="B2262" s="2" t="s">
        <v>3939</v>
      </c>
      <c r="C2262" s="2" t="s">
        <v>1040</v>
      </c>
      <c r="D2262" s="2" t="s">
        <v>496</v>
      </c>
      <c r="E2262" s="1" t="s">
        <v>4028</v>
      </c>
      <c r="F2262" s="4" t="s">
        <v>340</v>
      </c>
      <c r="G2262" s="4">
        <v>37.5</v>
      </c>
      <c r="H2262" s="2" t="str">
        <f t="shared" si="75"/>
        <v>W</v>
      </c>
      <c r="I2262" s="33">
        <v>17.5</v>
      </c>
      <c r="J2262" s="5">
        <f>0.000257*((I2262*10)^2.94)</f>
        <v>1010.3340424626901</v>
      </c>
      <c r="K2262" s="5"/>
      <c r="L2262" s="5"/>
      <c r="M2262" s="4" t="s">
        <v>571</v>
      </c>
      <c r="N2262" s="33">
        <v>33.200000000000003</v>
      </c>
      <c r="O2262" s="33">
        <v>26.8</v>
      </c>
      <c r="P2262" s="5">
        <f xml:space="preserve"> (0.661*N2262) + (1.201*O2262) - 38.855</f>
        <v>15.277000000000008</v>
      </c>
      <c r="Q2262" s="2" t="s">
        <v>376</v>
      </c>
      <c r="R2262" s="5"/>
      <c r="S2262" s="5"/>
      <c r="V2262" s="5"/>
      <c r="W2262" s="6" t="s">
        <v>2120</v>
      </c>
    </row>
    <row r="2263" spans="1:23" x14ac:dyDescent="0.15">
      <c r="A2263" s="2" t="s">
        <v>299</v>
      </c>
      <c r="B2263" s="2" t="s">
        <v>3939</v>
      </c>
      <c r="C2263" s="2" t="s">
        <v>1040</v>
      </c>
      <c r="D2263" s="2" t="s">
        <v>496</v>
      </c>
      <c r="E2263" s="1" t="s">
        <v>3824</v>
      </c>
      <c r="F2263" s="4" t="s">
        <v>343</v>
      </c>
      <c r="G2263" s="4">
        <v>40.5</v>
      </c>
      <c r="H2263" s="2" t="str">
        <f t="shared" si="75"/>
        <v>W</v>
      </c>
      <c r="I2263" s="33"/>
      <c r="J2263" s="5"/>
      <c r="K2263" s="5"/>
      <c r="L2263" s="5"/>
      <c r="M2263" s="4" t="s">
        <v>571</v>
      </c>
      <c r="N2263" s="33">
        <v>38.700000000000003</v>
      </c>
      <c r="O2263" s="33">
        <v>30.9</v>
      </c>
      <c r="P2263" s="5">
        <f xml:space="preserve"> (0.661*N2263) + (1.201*O2263) - 38.855</f>
        <v>23.836600000000011</v>
      </c>
      <c r="Q2263" s="2" t="s">
        <v>376</v>
      </c>
      <c r="R2263" s="5"/>
      <c r="S2263" s="5"/>
      <c r="V2263" s="5"/>
      <c r="W2263" s="6" t="s">
        <v>2124</v>
      </c>
    </row>
    <row r="2264" spans="1:23" x14ac:dyDescent="0.15">
      <c r="A2264" s="2" t="s">
        <v>299</v>
      </c>
      <c r="B2264" s="2" t="s">
        <v>3939</v>
      </c>
      <c r="C2264" s="2" t="s">
        <v>1040</v>
      </c>
      <c r="D2264" s="2" t="s">
        <v>496</v>
      </c>
      <c r="E2264" s="1" t="s">
        <v>3824</v>
      </c>
      <c r="F2264" s="2" t="s">
        <v>337</v>
      </c>
      <c r="G2264" s="2">
        <v>47.45</v>
      </c>
      <c r="H2264" s="2" t="str">
        <f t="shared" si="75"/>
        <v>W</v>
      </c>
      <c r="I2264" s="5"/>
      <c r="J2264" s="5"/>
      <c r="K2264" s="5"/>
      <c r="L2264" s="5">
        <v>9</v>
      </c>
      <c r="M2264" s="2" t="s">
        <v>571</v>
      </c>
      <c r="N2264" s="5">
        <v>36.89</v>
      </c>
      <c r="O2264" s="5">
        <v>31.89</v>
      </c>
      <c r="P2264" s="5">
        <f xml:space="preserve"> (0.661*N2264) + (1.201*O2264) - 38.855</f>
        <v>23.829180000000008</v>
      </c>
      <c r="Q2264" s="2" t="s">
        <v>376</v>
      </c>
      <c r="R2264" s="5">
        <f>P2264*L2264</f>
        <v>214.46262000000007</v>
      </c>
      <c r="S2264" s="5"/>
      <c r="V2264" s="5"/>
      <c r="W2264" s="6" t="s">
        <v>2117</v>
      </c>
    </row>
    <row r="2265" spans="1:23" x14ac:dyDescent="0.15">
      <c r="A2265" s="2" t="s">
        <v>299</v>
      </c>
      <c r="B2265" s="2" t="s">
        <v>3939</v>
      </c>
      <c r="C2265" s="2" t="s">
        <v>1040</v>
      </c>
      <c r="D2265" s="2" t="s">
        <v>496</v>
      </c>
      <c r="E2265" s="1" t="s">
        <v>4029</v>
      </c>
      <c r="F2265" s="4" t="s">
        <v>339</v>
      </c>
      <c r="G2265" s="4">
        <v>36.5</v>
      </c>
      <c r="H2265" s="2" t="str">
        <f t="shared" si="75"/>
        <v>W</v>
      </c>
      <c r="I2265" s="33">
        <v>20</v>
      </c>
      <c r="J2265" s="5">
        <f>0.000257*((I2265*10)^2.94)</f>
        <v>1496.1023688697433</v>
      </c>
      <c r="K2265" s="5"/>
      <c r="L2265" s="5">
        <v>4</v>
      </c>
      <c r="M2265" s="2" t="s">
        <v>571</v>
      </c>
      <c r="N2265" s="33">
        <v>35</v>
      </c>
      <c r="O2265" s="33">
        <v>27.75</v>
      </c>
      <c r="P2265" s="5">
        <f xml:space="preserve"> (0.661*N2265) + (1.201*O2265) - 38.855</f>
        <v>17.607750000000003</v>
      </c>
      <c r="Q2265" s="2" t="s">
        <v>376</v>
      </c>
      <c r="R2265" s="5">
        <f>P2265*L2265</f>
        <v>70.431000000000012</v>
      </c>
      <c r="S2265" s="5">
        <f>(R2265/J2265)*100</f>
        <v>4.7076324097533737</v>
      </c>
      <c r="V2265" s="5"/>
      <c r="W2265" s="6" t="s">
        <v>2119</v>
      </c>
    </row>
    <row r="2266" spans="1:23" x14ac:dyDescent="0.15">
      <c r="A2266" s="2" t="s">
        <v>299</v>
      </c>
      <c r="B2266" s="2" t="s">
        <v>3939</v>
      </c>
      <c r="C2266" s="2" t="s">
        <v>1040</v>
      </c>
      <c r="D2266" s="2" t="s">
        <v>496</v>
      </c>
      <c r="E2266" s="1" t="s">
        <v>4029</v>
      </c>
      <c r="F2266" s="4" t="s">
        <v>136</v>
      </c>
      <c r="G2266" s="4">
        <v>36.83</v>
      </c>
      <c r="H2266" s="2" t="str">
        <f t="shared" si="75"/>
        <v>W</v>
      </c>
      <c r="I2266" s="33"/>
      <c r="J2266" s="5"/>
      <c r="K2266" s="5">
        <v>10</v>
      </c>
      <c r="L2266" s="5"/>
      <c r="M2266" s="2" t="s">
        <v>571</v>
      </c>
      <c r="N2266" s="33"/>
      <c r="O2266" s="33"/>
      <c r="P2266" s="5"/>
      <c r="R2266" s="5"/>
      <c r="S2266" s="5"/>
      <c r="V2266" s="5"/>
      <c r="W2266" s="6" t="s">
        <v>4100</v>
      </c>
    </row>
    <row r="2267" spans="1:23" x14ac:dyDescent="0.15">
      <c r="A2267" s="2" t="s">
        <v>299</v>
      </c>
      <c r="B2267" s="2" t="s">
        <v>3939</v>
      </c>
      <c r="C2267" s="2" t="s">
        <v>1040</v>
      </c>
      <c r="D2267" s="2" t="s">
        <v>443</v>
      </c>
      <c r="E2267" s="1" t="s">
        <v>3529</v>
      </c>
      <c r="F2267" s="2" t="s">
        <v>374</v>
      </c>
      <c r="G2267" s="2" t="s">
        <v>374</v>
      </c>
      <c r="H2267" s="2" t="str">
        <f t="shared" si="75"/>
        <v>C</v>
      </c>
      <c r="I2267" s="5"/>
      <c r="J2267" s="5"/>
      <c r="K2267" s="5"/>
      <c r="L2267" s="5">
        <v>6</v>
      </c>
      <c r="M2267" s="2" t="s">
        <v>571</v>
      </c>
      <c r="N2267" s="5">
        <v>37</v>
      </c>
      <c r="O2267" s="5">
        <v>27</v>
      </c>
      <c r="P2267" s="5">
        <v>16</v>
      </c>
      <c r="Q2267" s="2" t="s">
        <v>18</v>
      </c>
      <c r="R2267" s="5">
        <v>96</v>
      </c>
      <c r="S2267" s="5"/>
      <c r="T2267" s="5">
        <v>2</v>
      </c>
      <c r="U2267" s="2" t="str">
        <f>IF(T2267&lt;=1, "1",IF(AND(T2267&gt;1,T2267&lt;4), "2-3", "+4"))</f>
        <v>2-3</v>
      </c>
      <c r="V2267" s="5"/>
      <c r="W2267" s="6" t="s">
        <v>2534</v>
      </c>
    </row>
    <row r="2268" spans="1:23" x14ac:dyDescent="0.15">
      <c r="A2268" s="2" t="s">
        <v>299</v>
      </c>
      <c r="B2268" s="2" t="s">
        <v>3939</v>
      </c>
      <c r="C2268" s="2" t="s">
        <v>1040</v>
      </c>
      <c r="D2268" s="2" t="s">
        <v>443</v>
      </c>
      <c r="E2268" s="1" t="s">
        <v>1042</v>
      </c>
      <c r="F2268" s="2" t="s">
        <v>214</v>
      </c>
      <c r="G2268" s="2">
        <v>40.69</v>
      </c>
      <c r="H2268" s="2" t="str">
        <f t="shared" si="75"/>
        <v>W</v>
      </c>
      <c r="I2268" s="5">
        <v>16.387</v>
      </c>
      <c r="J2268" s="5">
        <f xml:space="preserve"> 0.00569*(I2268*10)^2.3737</f>
        <v>1027.2345538801551</v>
      </c>
      <c r="K2268" s="7"/>
      <c r="L2268" s="5">
        <v>2.7</v>
      </c>
      <c r="M2268" s="2" t="s">
        <v>571</v>
      </c>
      <c r="N2268" s="5">
        <v>27.395</v>
      </c>
      <c r="O2268" s="5"/>
      <c r="P2268" s="5">
        <f xml:space="preserve"> 0.8022*(N2268)- 13.377</f>
        <v>8.5992690000000014</v>
      </c>
      <c r="Q2268" s="2" t="s">
        <v>376</v>
      </c>
      <c r="R2268" s="5">
        <f>P2268*L2268</f>
        <v>23.218026300000005</v>
      </c>
      <c r="S2268" s="5">
        <f>(R2268/J2268)*100</f>
        <v>2.2602458428115528</v>
      </c>
      <c r="T2268" s="5"/>
      <c r="V2268" s="5"/>
      <c r="W2268" s="6" t="s">
        <v>2600</v>
      </c>
    </row>
    <row r="2269" spans="1:23" x14ac:dyDescent="0.15">
      <c r="A2269" s="2" t="s">
        <v>299</v>
      </c>
      <c r="B2269" s="2" t="s">
        <v>3939</v>
      </c>
      <c r="C2269" s="2" t="s">
        <v>1040</v>
      </c>
      <c r="D2269" s="2" t="s">
        <v>443</v>
      </c>
      <c r="E2269" s="1" t="s">
        <v>1042</v>
      </c>
      <c r="F2269" s="2" t="s">
        <v>214</v>
      </c>
      <c r="G2269" s="2">
        <v>40.69</v>
      </c>
      <c r="H2269" s="2" t="str">
        <f t="shared" si="75"/>
        <v>W</v>
      </c>
      <c r="I2269" s="5"/>
      <c r="J2269" s="5"/>
      <c r="K2269" s="7">
        <v>8</v>
      </c>
      <c r="L2269" s="5"/>
      <c r="M2269" s="2" t="s">
        <v>571</v>
      </c>
      <c r="N2269" s="5"/>
      <c r="O2269" s="5"/>
      <c r="P2269" s="5"/>
      <c r="R2269" s="5"/>
      <c r="S2269" s="5"/>
      <c r="T2269" s="5"/>
      <c r="V2269" s="5"/>
      <c r="W2269" s="6" t="s">
        <v>2129</v>
      </c>
    </row>
    <row r="2270" spans="1:23" x14ac:dyDescent="0.15">
      <c r="A2270" s="2" t="s">
        <v>299</v>
      </c>
      <c r="B2270" s="2" t="s">
        <v>3939</v>
      </c>
      <c r="C2270" s="2" t="s">
        <v>1040</v>
      </c>
      <c r="D2270" s="2" t="s">
        <v>443</v>
      </c>
      <c r="E2270" s="1" t="s">
        <v>1042</v>
      </c>
      <c r="F2270" s="2" t="s">
        <v>214</v>
      </c>
      <c r="G2270" s="2">
        <v>40.69</v>
      </c>
      <c r="H2270" s="2" t="str">
        <f t="shared" si="75"/>
        <v>W</v>
      </c>
      <c r="I2270" s="5">
        <v>15.07</v>
      </c>
      <c r="J2270" s="5">
        <v>946</v>
      </c>
      <c r="K2270" s="7"/>
      <c r="L2270" s="5">
        <v>3.05</v>
      </c>
      <c r="M2270" s="2" t="s">
        <v>571</v>
      </c>
      <c r="N2270" s="5">
        <v>34.630000000000003</v>
      </c>
      <c r="O2270" s="5">
        <v>27.3</v>
      </c>
      <c r="P2270" s="5">
        <v>14.723000000000001</v>
      </c>
      <c r="Q2270" s="2" t="s">
        <v>376</v>
      </c>
      <c r="R2270" s="5">
        <v>44.905000000000001</v>
      </c>
      <c r="S2270" s="5">
        <v>4.75</v>
      </c>
      <c r="T2270" s="5">
        <v>1.38</v>
      </c>
      <c r="U2270" s="2" t="str">
        <f>IF(T2270&lt;=1, "1",IF(AND(T2270&gt;1,T2270&lt;4), "2-3", "+4"))</f>
        <v>2-3</v>
      </c>
      <c r="V2270" s="5">
        <f>S2270*T2270</f>
        <v>6.5549999999999997</v>
      </c>
      <c r="W2270" s="6" t="s">
        <v>2129</v>
      </c>
    </row>
    <row r="2271" spans="1:23" x14ac:dyDescent="0.15">
      <c r="A2271" s="2" t="s">
        <v>299</v>
      </c>
      <c r="B2271" s="2" t="s">
        <v>3939</v>
      </c>
      <c r="C2271" s="2" t="s">
        <v>1040</v>
      </c>
      <c r="D2271" s="2" t="s">
        <v>443</v>
      </c>
      <c r="E2271" s="1" t="s">
        <v>1042</v>
      </c>
      <c r="F2271" s="2" t="s">
        <v>347</v>
      </c>
      <c r="G2271" s="2">
        <v>41.6</v>
      </c>
      <c r="H2271" s="2" t="str">
        <f t="shared" si="75"/>
        <v>W</v>
      </c>
      <c r="I2271" s="5">
        <v>16.059999999999999</v>
      </c>
      <c r="J2271" s="5">
        <v>1048</v>
      </c>
      <c r="K2271" s="7"/>
      <c r="L2271" s="5">
        <v>4.0599999999999996</v>
      </c>
      <c r="M2271" s="2" t="s">
        <v>571</v>
      </c>
      <c r="N2271" s="5">
        <v>35.270000000000003</v>
      </c>
      <c r="O2271" s="5">
        <v>27.7</v>
      </c>
      <c r="P2271" s="5">
        <v>15.239000000000001</v>
      </c>
      <c r="Q2271" s="2" t="s">
        <v>376</v>
      </c>
      <c r="R2271" s="5">
        <v>61.87</v>
      </c>
      <c r="S2271" s="5">
        <v>5.9</v>
      </c>
      <c r="T2271" s="5">
        <v>1.47</v>
      </c>
      <c r="U2271" s="2" t="str">
        <f>IF(T2271&lt;=1, "1",IF(AND(T2271&gt;1,T2271&lt;4), "2-3", "+4"))</f>
        <v>2-3</v>
      </c>
      <c r="V2271" s="5">
        <f>S2271*T2271</f>
        <v>8.673</v>
      </c>
      <c r="W2271" s="6" t="s">
        <v>2129</v>
      </c>
    </row>
    <row r="2272" spans="1:23" x14ac:dyDescent="0.15">
      <c r="A2272" s="2" t="s">
        <v>299</v>
      </c>
      <c r="B2272" s="2" t="s">
        <v>3939</v>
      </c>
      <c r="C2272" s="2" t="s">
        <v>1040</v>
      </c>
      <c r="D2272" s="2" t="s">
        <v>443</v>
      </c>
      <c r="E2272" s="1" t="s">
        <v>3529</v>
      </c>
      <c r="F2272" s="2" t="s">
        <v>374</v>
      </c>
      <c r="G2272" s="2" t="s">
        <v>374</v>
      </c>
      <c r="H2272" s="2" t="str">
        <f t="shared" si="75"/>
        <v>C</v>
      </c>
      <c r="I2272" s="5"/>
      <c r="J2272" s="5"/>
      <c r="K2272" s="5"/>
      <c r="L2272" s="5">
        <v>5.7</v>
      </c>
      <c r="M2272" s="2" t="s">
        <v>571</v>
      </c>
      <c r="N2272" s="5"/>
      <c r="O2272" s="5"/>
      <c r="P2272" s="5"/>
      <c r="R2272" s="5"/>
      <c r="S2272" s="5"/>
      <c r="T2272" s="5">
        <v>2</v>
      </c>
      <c r="U2272" s="2" t="str">
        <f>IF(T2272&lt;=1, "1",IF(AND(T2272&gt;1,T2272&lt;4), "2-3", "+4"))</f>
        <v>2-3</v>
      </c>
      <c r="V2272" s="5"/>
      <c r="W2272" s="6" t="s">
        <v>3300</v>
      </c>
    </row>
    <row r="2273" spans="1:23" x14ac:dyDescent="0.15">
      <c r="A2273" s="1" t="s">
        <v>299</v>
      </c>
      <c r="B2273" s="2" t="s">
        <v>3939</v>
      </c>
      <c r="C2273" s="1" t="s">
        <v>1040</v>
      </c>
      <c r="D2273" s="2" t="s">
        <v>443</v>
      </c>
      <c r="E2273" s="1" t="s">
        <v>3529</v>
      </c>
      <c r="F2273" s="1" t="s">
        <v>374</v>
      </c>
      <c r="G2273" s="1" t="s">
        <v>374</v>
      </c>
      <c r="H2273" s="2" t="str">
        <f t="shared" si="75"/>
        <v>C</v>
      </c>
      <c r="I2273" s="8"/>
      <c r="J2273" s="8"/>
      <c r="K2273" s="8"/>
      <c r="L2273" s="8">
        <v>8</v>
      </c>
      <c r="M2273" s="8" t="s">
        <v>571</v>
      </c>
      <c r="N2273" s="8">
        <v>37</v>
      </c>
      <c r="O2273" s="8">
        <v>27</v>
      </c>
      <c r="P2273" s="8">
        <v>16</v>
      </c>
      <c r="Q2273" s="1" t="s">
        <v>18</v>
      </c>
      <c r="R2273" s="8">
        <v>128</v>
      </c>
      <c r="S2273" s="8"/>
      <c r="T2273" s="23">
        <f>MEDIAN(2,3)</f>
        <v>2.5</v>
      </c>
      <c r="U2273" s="2" t="str">
        <f>IF(T2273&lt;=1, "1",IF(AND(T2273&gt;1,T2273&lt;4), "2-3", "+4"))</f>
        <v>2-3</v>
      </c>
      <c r="V2273" s="8"/>
      <c r="W2273" s="6" t="s">
        <v>3624</v>
      </c>
    </row>
    <row r="2274" spans="1:23" x14ac:dyDescent="0.15">
      <c r="A2274" s="4" t="s">
        <v>299</v>
      </c>
      <c r="B2274" s="2" t="s">
        <v>3939</v>
      </c>
      <c r="C2274" s="4" t="s">
        <v>1040</v>
      </c>
      <c r="D2274" s="4" t="s">
        <v>443</v>
      </c>
      <c r="E2274" s="1" t="s">
        <v>1042</v>
      </c>
      <c r="F2274" s="4" t="s">
        <v>3918</v>
      </c>
      <c r="G2274" s="4"/>
      <c r="H2274" s="2" t="s">
        <v>3887</v>
      </c>
      <c r="I2274" s="33"/>
      <c r="J2274" s="33"/>
      <c r="K2274" s="33">
        <v>12.5</v>
      </c>
      <c r="L2274" s="33"/>
      <c r="M2274" s="2" t="s">
        <v>571</v>
      </c>
      <c r="N2274" s="33"/>
      <c r="O2274" s="5"/>
      <c r="P2274" s="5"/>
      <c r="R2274" s="5"/>
      <c r="S2274" s="33"/>
      <c r="T2274" s="4"/>
      <c r="U2274" s="4"/>
      <c r="V2274" s="33"/>
      <c r="W2274" s="10" t="s">
        <v>1874</v>
      </c>
    </row>
    <row r="2275" spans="1:23" x14ac:dyDescent="0.15">
      <c r="A2275" s="2" t="s">
        <v>299</v>
      </c>
      <c r="B2275" s="2" t="s">
        <v>3939</v>
      </c>
      <c r="C2275" s="2" t="s">
        <v>1040</v>
      </c>
      <c r="D2275" s="2" t="s">
        <v>443</v>
      </c>
      <c r="E2275" s="1" t="s">
        <v>1042</v>
      </c>
      <c r="F2275" s="2" t="s">
        <v>374</v>
      </c>
      <c r="G2275" s="2" t="s">
        <v>374</v>
      </c>
      <c r="H2275" s="2" t="str">
        <f t="shared" si="75"/>
        <v>C</v>
      </c>
      <c r="I2275" s="5"/>
      <c r="J2275" s="5"/>
      <c r="K2275" s="7"/>
      <c r="L2275" s="5"/>
      <c r="M2275" s="2" t="s">
        <v>571</v>
      </c>
      <c r="N2275" s="5">
        <v>35</v>
      </c>
      <c r="O2275" s="5">
        <v>26</v>
      </c>
      <c r="P2275" s="5">
        <f xml:space="preserve"> 0.372*N2275 + 0.949*O2275 - 23.83</f>
        <v>13.864000000000004</v>
      </c>
      <c r="Q2275" s="2" t="s">
        <v>18</v>
      </c>
      <c r="R2275" s="5"/>
      <c r="S2275" s="5"/>
      <c r="T2275" s="12"/>
      <c r="U2275" s="12"/>
      <c r="V2275" s="5"/>
      <c r="W2275" s="6" t="s">
        <v>3299</v>
      </c>
    </row>
    <row r="2276" spans="1:23" ht="12.75" customHeight="1" x14ac:dyDescent="0.15">
      <c r="A2276" s="2" t="s">
        <v>299</v>
      </c>
      <c r="B2276" s="2" t="s">
        <v>3939</v>
      </c>
      <c r="C2276" s="2" t="s">
        <v>1040</v>
      </c>
      <c r="D2276" s="2" t="s">
        <v>443</v>
      </c>
      <c r="E2276" s="1" t="s">
        <v>1042</v>
      </c>
      <c r="F2276" s="2" t="s">
        <v>374</v>
      </c>
      <c r="G2276" s="2" t="s">
        <v>374</v>
      </c>
      <c r="H2276" s="2" t="str">
        <f t="shared" si="75"/>
        <v>C</v>
      </c>
      <c r="I2276" s="5"/>
      <c r="J2276" s="5"/>
      <c r="K2276" s="5"/>
      <c r="L2276" s="5">
        <v>3.8</v>
      </c>
      <c r="M2276" s="2" t="s">
        <v>571</v>
      </c>
      <c r="N2276" s="5">
        <v>34.700000000000003</v>
      </c>
      <c r="O2276" s="5">
        <v>27.8</v>
      </c>
      <c r="P2276" s="5">
        <v>15.1</v>
      </c>
      <c r="Q2276" s="2" t="s">
        <v>18</v>
      </c>
      <c r="R2276" s="5">
        <v>57.38</v>
      </c>
      <c r="S2276" s="5"/>
      <c r="V2276" s="5"/>
      <c r="W2276" s="6" t="s">
        <v>3573</v>
      </c>
    </row>
    <row r="2277" spans="1:23" ht="12.75" customHeight="1" x14ac:dyDescent="0.15">
      <c r="A2277" s="2" t="s">
        <v>299</v>
      </c>
      <c r="B2277" s="2" t="s">
        <v>3939</v>
      </c>
      <c r="C2277" s="2" t="s">
        <v>1040</v>
      </c>
      <c r="D2277" s="2" t="s">
        <v>443</v>
      </c>
      <c r="E2277" s="1" t="s">
        <v>3529</v>
      </c>
      <c r="F2277" s="2" t="s">
        <v>374</v>
      </c>
      <c r="G2277" s="2" t="s">
        <v>374</v>
      </c>
      <c r="H2277" s="2" t="str">
        <f t="shared" si="75"/>
        <v>C</v>
      </c>
      <c r="I2277" s="5">
        <v>20.100000000000001</v>
      </c>
      <c r="J2277" s="5">
        <v>1645</v>
      </c>
      <c r="K2277" s="5"/>
      <c r="L2277" s="5">
        <v>2.5</v>
      </c>
      <c r="M2277" s="2" t="s">
        <v>571</v>
      </c>
      <c r="N2277" s="5">
        <v>36.1</v>
      </c>
      <c r="O2277" s="5">
        <v>28.5</v>
      </c>
      <c r="P2277" s="5">
        <v>14.9</v>
      </c>
      <c r="Q2277" s="2" t="s">
        <v>18</v>
      </c>
      <c r="R2277" s="5">
        <v>37.25</v>
      </c>
      <c r="S2277" s="5">
        <v>2.2599999999999998</v>
      </c>
      <c r="T2277" s="7">
        <f>MEDIAN(1,3)</f>
        <v>2</v>
      </c>
      <c r="U2277" s="2" t="str">
        <f>IF(T2277&lt;=1, "1",IF(AND(T2277&gt;1,T2277&lt;4), "2-3", "+4"))</f>
        <v>2-3</v>
      </c>
      <c r="V2277" s="33">
        <f>T2277*S2277</f>
        <v>4.5199999999999996</v>
      </c>
      <c r="W2277" s="6" t="s">
        <v>2576</v>
      </c>
    </row>
    <row r="2278" spans="1:23" x14ac:dyDescent="0.15">
      <c r="A2278" s="2" t="s">
        <v>299</v>
      </c>
      <c r="B2278" s="2" t="s">
        <v>3939</v>
      </c>
      <c r="C2278" s="2" t="s">
        <v>1040</v>
      </c>
      <c r="D2278" s="2" t="s">
        <v>443</v>
      </c>
      <c r="E2278" s="1" t="s">
        <v>1042</v>
      </c>
      <c r="F2278" s="2" t="s">
        <v>374</v>
      </c>
      <c r="G2278" s="2" t="s">
        <v>374</v>
      </c>
      <c r="H2278" s="2" t="str">
        <f t="shared" si="75"/>
        <v>C</v>
      </c>
      <c r="I2278" s="5">
        <f>(EXP((LN(J2278/0.00069))/2.767)/10)</f>
        <v>23.239443246181676</v>
      </c>
      <c r="J2278" s="5">
        <v>2433.3000000000002</v>
      </c>
      <c r="K2278" s="7">
        <f>MEDIAN(8,12)</f>
        <v>10</v>
      </c>
      <c r="L2278" s="5">
        <v>6.87</v>
      </c>
      <c r="M2278" s="2" t="s">
        <v>571</v>
      </c>
      <c r="N2278" s="5"/>
      <c r="O2278" s="5"/>
      <c r="P2278" s="5"/>
      <c r="R2278" s="5"/>
      <c r="S2278" s="5"/>
      <c r="T2278" s="7">
        <v>2</v>
      </c>
      <c r="U2278" s="2" t="str">
        <f>IF(T2278&lt;=1, "1",IF(AND(T2278&gt;1,T2278&lt;4), "2-3", "+4"))</f>
        <v>2-3</v>
      </c>
      <c r="V2278" s="5"/>
      <c r="W2278" s="6" t="s">
        <v>3851</v>
      </c>
    </row>
    <row r="2279" spans="1:23" ht="12.75" customHeight="1" x14ac:dyDescent="0.15">
      <c r="A2279" s="2" t="s">
        <v>299</v>
      </c>
      <c r="B2279" s="2" t="s">
        <v>3939</v>
      </c>
      <c r="C2279" s="2" t="s">
        <v>1040</v>
      </c>
      <c r="D2279" s="2" t="s">
        <v>443</v>
      </c>
      <c r="E2279" s="1" t="s">
        <v>1042</v>
      </c>
      <c r="F2279" s="2" t="s">
        <v>374</v>
      </c>
      <c r="G2279" s="2" t="s">
        <v>374</v>
      </c>
      <c r="H2279" s="2" t="str">
        <f t="shared" si="75"/>
        <v>C</v>
      </c>
      <c r="I2279" s="5"/>
      <c r="J2279" s="5"/>
      <c r="K2279" s="7"/>
      <c r="L2279" s="5">
        <v>6.24</v>
      </c>
      <c r="M2279" s="2" t="s">
        <v>571</v>
      </c>
      <c r="N2279" s="5"/>
      <c r="O2279" s="5"/>
      <c r="P2279" s="5"/>
      <c r="R2279" s="5"/>
      <c r="S2279" s="5"/>
      <c r="T2279" s="7">
        <f>MEDIAN(2,3)</f>
        <v>2.5</v>
      </c>
      <c r="U2279" s="2" t="str">
        <f>IF(T2279&lt;=1, "1",IF(AND(T2279&gt;1,T2279&lt;4), "2-3", "+4"))</f>
        <v>2-3</v>
      </c>
      <c r="V2279" s="5"/>
      <c r="W2279" s="6" t="s">
        <v>2598</v>
      </c>
    </row>
    <row r="2280" spans="1:23" x14ac:dyDescent="0.15">
      <c r="A2280" s="2" t="s">
        <v>299</v>
      </c>
      <c r="B2280" s="2" t="s">
        <v>3939</v>
      </c>
      <c r="C2280" s="2" t="s">
        <v>1040</v>
      </c>
      <c r="D2280" s="2" t="s">
        <v>443</v>
      </c>
      <c r="E2280" s="1" t="s">
        <v>3529</v>
      </c>
      <c r="F2280" s="2" t="s">
        <v>71</v>
      </c>
      <c r="G2280" s="2">
        <v>40.369999999999997</v>
      </c>
      <c r="H2280" s="2" t="str">
        <f t="shared" si="75"/>
        <v>W</v>
      </c>
      <c r="I2280" s="5"/>
      <c r="J2280" s="5"/>
      <c r="K2280" s="5">
        <v>11</v>
      </c>
      <c r="L2280" s="5"/>
      <c r="M2280" s="2" t="s">
        <v>571</v>
      </c>
      <c r="N2280" s="5"/>
      <c r="O2280" s="5"/>
      <c r="P2280" s="5"/>
      <c r="R2280" s="5"/>
      <c r="S2280" s="5"/>
      <c r="T2280" s="5"/>
      <c r="V2280" s="5"/>
      <c r="W2280" s="6" t="s">
        <v>3343</v>
      </c>
    </row>
    <row r="2281" spans="1:23" ht="12.75" customHeight="1" x14ac:dyDescent="0.15">
      <c r="A2281" s="4" t="s">
        <v>299</v>
      </c>
      <c r="B2281" s="2" t="s">
        <v>3939</v>
      </c>
      <c r="C2281" s="4" t="s">
        <v>1040</v>
      </c>
      <c r="D2281" s="4" t="s">
        <v>443</v>
      </c>
      <c r="E2281" s="1" t="s">
        <v>3529</v>
      </c>
      <c r="F2281" s="4" t="s">
        <v>344</v>
      </c>
      <c r="G2281" s="4">
        <v>40.35</v>
      </c>
      <c r="H2281" s="2" t="str">
        <f t="shared" si="75"/>
        <v>W</v>
      </c>
      <c r="I2281" s="5">
        <v>16.7</v>
      </c>
      <c r="J2281" s="33">
        <v>870</v>
      </c>
      <c r="K2281" s="33"/>
      <c r="L2281" s="33">
        <v>3.6</v>
      </c>
      <c r="M2281" s="4" t="s">
        <v>571</v>
      </c>
      <c r="N2281" s="5">
        <v>37.1</v>
      </c>
      <c r="O2281" s="5">
        <v>27</v>
      </c>
      <c r="P2281" s="5">
        <v>15.8</v>
      </c>
      <c r="Q2281" s="2" t="s">
        <v>18</v>
      </c>
      <c r="R2281" s="5">
        <v>58</v>
      </c>
      <c r="S2281" s="5">
        <v>7.4</v>
      </c>
      <c r="T2281" s="5">
        <v>1.9</v>
      </c>
      <c r="U2281" s="2" t="str">
        <f>IF(T2281&lt;=1, "1",IF(AND(T2281&gt;1,T2281&lt;4), "2-3", "+4"))</f>
        <v>2-3</v>
      </c>
      <c r="V2281" s="5">
        <v>15</v>
      </c>
      <c r="W2281" s="10" t="s">
        <v>1873</v>
      </c>
    </row>
    <row r="2282" spans="1:23" ht="12.75" customHeight="1" x14ac:dyDescent="0.15">
      <c r="A2282" s="4" t="s">
        <v>299</v>
      </c>
      <c r="B2282" s="2" t="s">
        <v>3939</v>
      </c>
      <c r="C2282" s="4" t="s">
        <v>1040</v>
      </c>
      <c r="D2282" s="4" t="s">
        <v>443</v>
      </c>
      <c r="E2282" s="1" t="s">
        <v>3529</v>
      </c>
      <c r="F2282" s="4" t="s">
        <v>345</v>
      </c>
      <c r="G2282" s="4">
        <v>41</v>
      </c>
      <c r="H2282" s="2" t="str">
        <f t="shared" si="75"/>
        <v>W</v>
      </c>
      <c r="I2282" s="5">
        <v>18.600000000000001</v>
      </c>
      <c r="J2282" s="33">
        <v>1130</v>
      </c>
      <c r="K2282" s="33"/>
      <c r="L2282" s="33">
        <v>4.0999999999999996</v>
      </c>
      <c r="M2282" s="4" t="s">
        <v>571</v>
      </c>
      <c r="N2282" s="5">
        <v>37.5</v>
      </c>
      <c r="O2282" s="5">
        <v>28.9</v>
      </c>
      <c r="P2282" s="5">
        <v>18</v>
      </c>
      <c r="Q2282" s="2" t="s">
        <v>18</v>
      </c>
      <c r="R2282" s="5">
        <v>74</v>
      </c>
      <c r="S2282" s="5">
        <v>6.5</v>
      </c>
      <c r="T2282" s="5">
        <v>2.4</v>
      </c>
      <c r="U2282" s="2" t="str">
        <f>IF(T2282&lt;=1, "1",IF(AND(T2282&gt;1,T2282&lt;4), "2-3", "+4"))</f>
        <v>2-3</v>
      </c>
      <c r="V2282" s="5">
        <v>15.6</v>
      </c>
      <c r="W2282" s="10" t="s">
        <v>1873</v>
      </c>
    </row>
    <row r="2283" spans="1:23" ht="12.75" customHeight="1" x14ac:dyDescent="0.15">
      <c r="A2283" s="4" t="s">
        <v>299</v>
      </c>
      <c r="B2283" s="2" t="s">
        <v>3939</v>
      </c>
      <c r="C2283" s="4" t="s">
        <v>1040</v>
      </c>
      <c r="D2283" s="4" t="s">
        <v>443</v>
      </c>
      <c r="E2283" s="1" t="s">
        <v>3529</v>
      </c>
      <c r="F2283" s="4" t="s">
        <v>346</v>
      </c>
      <c r="G2283" s="4">
        <v>39.880000000000003</v>
      </c>
      <c r="H2283" s="2" t="str">
        <f t="shared" si="75"/>
        <v>W</v>
      </c>
      <c r="I2283" s="5">
        <v>21.7</v>
      </c>
      <c r="J2283" s="33">
        <v>1610</v>
      </c>
      <c r="K2283" s="33"/>
      <c r="L2283" s="33">
        <v>6</v>
      </c>
      <c r="M2283" s="4" t="s">
        <v>571</v>
      </c>
      <c r="N2283" s="5">
        <v>38.799999999999997</v>
      </c>
      <c r="O2283" s="5">
        <v>28</v>
      </c>
      <c r="P2283" s="5">
        <v>17.899999999999999</v>
      </c>
      <c r="Q2283" s="2" t="s">
        <v>18</v>
      </c>
      <c r="R2283" s="5">
        <v>107</v>
      </c>
      <c r="S2283" s="5">
        <v>6.8</v>
      </c>
      <c r="T2283" s="5">
        <v>2.4</v>
      </c>
      <c r="U2283" s="2" t="str">
        <f>IF(T2283&lt;=1, "1",IF(AND(T2283&gt;1,T2283&lt;4), "2-3", "+4"))</f>
        <v>2-3</v>
      </c>
      <c r="V2283" s="5">
        <v>15</v>
      </c>
      <c r="W2283" s="10" t="s">
        <v>1873</v>
      </c>
    </row>
    <row r="2284" spans="1:23" ht="12.75" customHeight="1" x14ac:dyDescent="0.15">
      <c r="A2284" s="2" t="s">
        <v>299</v>
      </c>
      <c r="B2284" s="2" t="s">
        <v>3939</v>
      </c>
      <c r="C2284" s="2" t="s">
        <v>1040</v>
      </c>
      <c r="D2284" s="2" t="s">
        <v>443</v>
      </c>
      <c r="E2284" s="1" t="s">
        <v>3529</v>
      </c>
      <c r="F2284" s="2" t="s">
        <v>374</v>
      </c>
      <c r="G2284" s="2" t="s">
        <v>374</v>
      </c>
      <c r="H2284" s="2" t="str">
        <f t="shared" si="75"/>
        <v>C</v>
      </c>
      <c r="I2284" s="5">
        <v>14.25</v>
      </c>
      <c r="J2284" s="5">
        <v>685</v>
      </c>
      <c r="K2284" s="5"/>
      <c r="L2284" s="5">
        <v>3</v>
      </c>
      <c r="M2284" s="2" t="s">
        <v>571</v>
      </c>
      <c r="N2284" s="5"/>
      <c r="O2284" s="5"/>
      <c r="P2284" s="5"/>
      <c r="R2284" s="5"/>
      <c r="S2284" s="5"/>
      <c r="V2284" s="5"/>
      <c r="W2284" s="6" t="s">
        <v>2594</v>
      </c>
    </row>
    <row r="2285" spans="1:23" x14ac:dyDescent="0.15">
      <c r="A2285" s="2" t="s">
        <v>299</v>
      </c>
      <c r="B2285" s="2" t="s">
        <v>3939</v>
      </c>
      <c r="C2285" s="2" t="s">
        <v>1040</v>
      </c>
      <c r="D2285" s="2" t="s">
        <v>443</v>
      </c>
      <c r="E2285" s="1" t="s">
        <v>3529</v>
      </c>
      <c r="F2285" s="2" t="s">
        <v>374</v>
      </c>
      <c r="G2285" s="2" t="s">
        <v>374</v>
      </c>
      <c r="H2285" s="2" t="str">
        <f t="shared" si="75"/>
        <v>C</v>
      </c>
      <c r="I2285" s="5"/>
      <c r="J2285" s="5"/>
      <c r="K2285" s="5"/>
      <c r="L2285" s="5">
        <v>5</v>
      </c>
      <c r="M2285" s="2" t="s">
        <v>571</v>
      </c>
      <c r="N2285" s="5"/>
      <c r="O2285" s="5"/>
      <c r="P2285" s="5">
        <v>19</v>
      </c>
      <c r="Q2285" s="2" t="s">
        <v>18</v>
      </c>
      <c r="R2285" s="5">
        <v>95</v>
      </c>
      <c r="S2285" s="5"/>
      <c r="T2285" s="2">
        <v>2.46</v>
      </c>
      <c r="U2285" s="2" t="str">
        <f>IF(T2285&lt;=1, "1",IF(AND(T2285&gt;1,T2285&lt;4), "2-3", "+4"))</f>
        <v>2-3</v>
      </c>
      <c r="V2285" s="5"/>
      <c r="W2285" s="6" t="s">
        <v>2593</v>
      </c>
    </row>
    <row r="2286" spans="1:23" x14ac:dyDescent="0.15">
      <c r="A2286" s="2" t="s">
        <v>299</v>
      </c>
      <c r="B2286" s="2" t="s">
        <v>3939</v>
      </c>
      <c r="C2286" s="2" t="s">
        <v>1040</v>
      </c>
      <c r="D2286" s="2" t="s">
        <v>443</v>
      </c>
      <c r="E2286" s="1" t="s">
        <v>1042</v>
      </c>
      <c r="F2286" s="2" t="s">
        <v>374</v>
      </c>
      <c r="G2286" s="2" t="s">
        <v>374</v>
      </c>
      <c r="H2286" s="2" t="str">
        <f t="shared" si="75"/>
        <v>C</v>
      </c>
      <c r="I2286" s="5">
        <v>17.63</v>
      </c>
      <c r="J2286" s="5">
        <v>1202</v>
      </c>
      <c r="K2286" s="7"/>
      <c r="L2286" s="5">
        <v>5.1669999999999998</v>
      </c>
      <c r="M2286" s="5" t="s">
        <v>571</v>
      </c>
      <c r="N2286" s="5">
        <v>32.86</v>
      </c>
      <c r="O2286" s="5">
        <v>26.5</v>
      </c>
      <c r="P2286" s="5">
        <v>13.747999999999999</v>
      </c>
      <c r="Q2286" s="2" t="s">
        <v>18</v>
      </c>
      <c r="R2286" s="5">
        <v>71.38</v>
      </c>
      <c r="S2286" s="5">
        <v>6.02</v>
      </c>
      <c r="T2286" s="7">
        <v>1</v>
      </c>
      <c r="U2286" s="2" t="str">
        <f>IF(T2286&lt;=1, "1",IF(AND(T2286&gt;1,T2286&lt;4), "2-3", "+4"))</f>
        <v>1</v>
      </c>
      <c r="V2286" s="5">
        <f>S2286*T2286</f>
        <v>6.02</v>
      </c>
      <c r="W2286" s="6" t="s">
        <v>2601</v>
      </c>
    </row>
    <row r="2287" spans="1:23" x14ac:dyDescent="0.15">
      <c r="A2287" s="2" t="s">
        <v>299</v>
      </c>
      <c r="B2287" s="2" t="s">
        <v>3939</v>
      </c>
      <c r="C2287" s="2" t="s">
        <v>1040</v>
      </c>
      <c r="D2287" s="2" t="s">
        <v>443</v>
      </c>
      <c r="E2287" s="1" t="s">
        <v>1042</v>
      </c>
      <c r="F2287" s="2" t="s">
        <v>374</v>
      </c>
      <c r="G2287" s="2" t="s">
        <v>374</v>
      </c>
      <c r="H2287" s="2" t="str">
        <f t="shared" si="75"/>
        <v>C</v>
      </c>
      <c r="I2287" s="5">
        <f>(EXP((LN(J2287/0.00069))/2.767)/10)</f>
        <v>17.830439991655737</v>
      </c>
      <c r="J2287" s="5">
        <v>1169</v>
      </c>
      <c r="K2287" s="7">
        <f>MEDIAN(11,14)</f>
        <v>12.5</v>
      </c>
      <c r="L2287" s="5">
        <v>4.78</v>
      </c>
      <c r="M2287" s="2" t="s">
        <v>571</v>
      </c>
      <c r="N2287" s="5"/>
      <c r="O2287" s="5"/>
      <c r="P2287" s="5"/>
      <c r="R2287" s="5"/>
      <c r="S2287" s="5"/>
      <c r="T2287" s="2" t="s">
        <v>382</v>
      </c>
      <c r="U2287" s="40" t="s">
        <v>395</v>
      </c>
      <c r="V2287" s="5"/>
      <c r="W2287" s="6" t="s">
        <v>2599</v>
      </c>
    </row>
    <row r="2288" spans="1:23" x14ac:dyDescent="0.15">
      <c r="A2288" s="2" t="s">
        <v>299</v>
      </c>
      <c r="B2288" s="2" t="s">
        <v>3939</v>
      </c>
      <c r="C2288" s="2" t="s">
        <v>1040</v>
      </c>
      <c r="D2288" s="2" t="s">
        <v>443</v>
      </c>
      <c r="E2288" s="1" t="s">
        <v>1042</v>
      </c>
      <c r="F2288" s="2" t="s">
        <v>348</v>
      </c>
      <c r="G2288" s="2">
        <v>43</v>
      </c>
      <c r="H2288" s="2" t="str">
        <f t="shared" si="75"/>
        <v>W</v>
      </c>
      <c r="I2288" s="5">
        <v>15.8</v>
      </c>
      <c r="J2288" s="5">
        <v>821</v>
      </c>
      <c r="K2288" s="5"/>
      <c r="L2288" s="5">
        <v>2.6</v>
      </c>
      <c r="M2288" s="2" t="s">
        <v>571</v>
      </c>
      <c r="N2288" s="5"/>
      <c r="O2288" s="5">
        <v>27.8</v>
      </c>
      <c r="P2288" s="5">
        <v>16.5</v>
      </c>
      <c r="Q2288" s="2" t="s">
        <v>18</v>
      </c>
      <c r="R2288" s="5">
        <v>44.1</v>
      </c>
      <c r="S2288" s="5">
        <v>5.44</v>
      </c>
      <c r="V2288" s="5"/>
      <c r="W2288" s="6" t="s">
        <v>2130</v>
      </c>
    </row>
    <row r="2289" spans="1:24" ht="12.75" customHeight="1" x14ac:dyDescent="0.15">
      <c r="A2289" s="2" t="s">
        <v>299</v>
      </c>
      <c r="B2289" s="2" t="s">
        <v>3939</v>
      </c>
      <c r="C2289" s="2" t="s">
        <v>1040</v>
      </c>
      <c r="D2289" s="2" t="s">
        <v>443</v>
      </c>
      <c r="E2289" s="1" t="s">
        <v>1042</v>
      </c>
      <c r="F2289" s="2" t="s">
        <v>374</v>
      </c>
      <c r="G2289" s="2" t="s">
        <v>374</v>
      </c>
      <c r="H2289" s="2" t="str">
        <f t="shared" si="75"/>
        <v>C</v>
      </c>
      <c r="I2289" s="5">
        <v>19.23</v>
      </c>
      <c r="J2289" s="5">
        <v>1433.3</v>
      </c>
      <c r="K2289" s="5"/>
      <c r="L2289" s="5">
        <v>6</v>
      </c>
      <c r="M2289" s="2" t="s">
        <v>571</v>
      </c>
      <c r="N2289" s="5"/>
      <c r="O2289" s="5"/>
      <c r="P2289" s="5"/>
      <c r="R2289" s="5"/>
      <c r="S2289" s="5"/>
      <c r="V2289" s="5"/>
      <c r="W2289" s="6" t="s">
        <v>3905</v>
      </c>
    </row>
    <row r="2290" spans="1:24" x14ac:dyDescent="0.15">
      <c r="A2290" s="2" t="s">
        <v>299</v>
      </c>
      <c r="B2290" s="2" t="s">
        <v>3939</v>
      </c>
      <c r="C2290" s="2" t="s">
        <v>1040</v>
      </c>
      <c r="D2290" s="2" t="s">
        <v>443</v>
      </c>
      <c r="E2290" s="1" t="s">
        <v>1042</v>
      </c>
      <c r="F2290" s="2" t="s">
        <v>886</v>
      </c>
      <c r="G2290" s="2" t="s">
        <v>374</v>
      </c>
      <c r="H2290" s="2" t="str">
        <f t="shared" si="75"/>
        <v>C</v>
      </c>
      <c r="I2290" s="5"/>
      <c r="J2290" s="5"/>
      <c r="K2290" s="5"/>
      <c r="L2290" s="5"/>
      <c r="M2290" s="2" t="s">
        <v>571</v>
      </c>
      <c r="N2290" s="5">
        <v>31.6</v>
      </c>
      <c r="O2290" s="5">
        <v>24.2</v>
      </c>
      <c r="P2290" s="5">
        <v>10.8</v>
      </c>
      <c r="Q2290" s="2" t="s">
        <v>18</v>
      </c>
      <c r="R2290" s="5"/>
      <c r="S2290" s="5"/>
      <c r="V2290" s="5"/>
      <c r="W2290" s="6" t="s">
        <v>2128</v>
      </c>
    </row>
    <row r="2291" spans="1:24" ht="12.75" customHeight="1" x14ac:dyDescent="0.15">
      <c r="A2291" s="2" t="s">
        <v>299</v>
      </c>
      <c r="B2291" s="2" t="s">
        <v>3939</v>
      </c>
      <c r="C2291" s="2" t="s">
        <v>1040</v>
      </c>
      <c r="D2291" s="2" t="s">
        <v>443</v>
      </c>
      <c r="E2291" s="1" t="s">
        <v>1042</v>
      </c>
      <c r="F2291" s="2" t="s">
        <v>374</v>
      </c>
      <c r="G2291" s="2" t="s">
        <v>374</v>
      </c>
      <c r="H2291" s="2" t="str">
        <f t="shared" si="75"/>
        <v>C</v>
      </c>
      <c r="I2291" s="5"/>
      <c r="J2291" s="5"/>
      <c r="K2291" s="5"/>
      <c r="L2291" s="5">
        <v>5</v>
      </c>
      <c r="M2291" s="2" t="s">
        <v>571</v>
      </c>
      <c r="N2291" s="5">
        <v>34.770000000000003</v>
      </c>
      <c r="O2291" s="5">
        <v>26.1</v>
      </c>
      <c r="P2291" s="5">
        <v>13.95</v>
      </c>
      <c r="Q2291" s="2" t="s">
        <v>18</v>
      </c>
      <c r="R2291" s="5">
        <v>69.75</v>
      </c>
      <c r="S2291" s="5"/>
      <c r="V2291" s="5"/>
      <c r="W2291" s="6" t="s">
        <v>2578</v>
      </c>
    </row>
    <row r="2292" spans="1:24" x14ac:dyDescent="0.15">
      <c r="A2292" s="2" t="s">
        <v>299</v>
      </c>
      <c r="B2292" s="2" t="s">
        <v>3939</v>
      </c>
      <c r="C2292" s="2" t="s">
        <v>1040</v>
      </c>
      <c r="D2292" s="2" t="s">
        <v>443</v>
      </c>
      <c r="E2292" s="1" t="s">
        <v>1042</v>
      </c>
      <c r="F2292" s="2" t="s">
        <v>2291</v>
      </c>
      <c r="G2292" s="2">
        <v>43</v>
      </c>
      <c r="H2292" s="2" t="str">
        <f t="shared" si="75"/>
        <v>W</v>
      </c>
      <c r="I2292" s="5">
        <v>15.9</v>
      </c>
      <c r="J2292" s="5">
        <v>830</v>
      </c>
      <c r="K2292" s="5"/>
      <c r="L2292" s="5">
        <v>2.92</v>
      </c>
      <c r="M2292" s="2" t="s">
        <v>571</v>
      </c>
      <c r="N2292" s="5">
        <v>36.31</v>
      </c>
      <c r="O2292" s="5">
        <v>28.1</v>
      </c>
      <c r="P2292" s="5">
        <v>15.75</v>
      </c>
      <c r="Q2292" s="2" t="s">
        <v>18</v>
      </c>
      <c r="R2292" s="5">
        <v>46.13</v>
      </c>
      <c r="S2292" s="5">
        <v>5.56</v>
      </c>
      <c r="T2292" s="5">
        <v>2</v>
      </c>
      <c r="U2292" s="2" t="str">
        <f>IF(T2292&lt;=1, "1",IF(AND(T2292&gt;1,T2292&lt;4), "2-3", "+4"))</f>
        <v>2-3</v>
      </c>
      <c r="V2292" s="5">
        <f>S2292*T2292</f>
        <v>11.12</v>
      </c>
      <c r="W2292" s="6" t="s">
        <v>2595</v>
      </c>
    </row>
    <row r="2293" spans="1:24" ht="12.75" customHeight="1" x14ac:dyDescent="0.15">
      <c r="A2293" s="2" t="s">
        <v>299</v>
      </c>
      <c r="B2293" s="2" t="s">
        <v>3939</v>
      </c>
      <c r="C2293" s="2" t="s">
        <v>1040</v>
      </c>
      <c r="D2293" s="2" t="s">
        <v>443</v>
      </c>
      <c r="E2293" s="1" t="s">
        <v>3529</v>
      </c>
      <c r="F2293" s="2" t="s">
        <v>71</v>
      </c>
      <c r="G2293" s="2">
        <v>40.549999999999997</v>
      </c>
      <c r="H2293" s="2" t="str">
        <f t="shared" si="75"/>
        <v>W</v>
      </c>
      <c r="I2293" s="5">
        <v>15.6</v>
      </c>
      <c r="J2293" s="5">
        <v>787</v>
      </c>
      <c r="K2293" s="5"/>
      <c r="L2293" s="5">
        <v>4.91</v>
      </c>
      <c r="M2293" s="2" t="s">
        <v>571</v>
      </c>
      <c r="N2293" s="5">
        <v>32.75</v>
      </c>
      <c r="O2293" s="5">
        <v>25.89</v>
      </c>
      <c r="P2293" s="5">
        <v>12.9</v>
      </c>
      <c r="Q2293" s="2" t="s">
        <v>18</v>
      </c>
      <c r="R2293" s="5">
        <v>63.59</v>
      </c>
      <c r="S2293" s="5">
        <v>8.08</v>
      </c>
      <c r="T2293" s="5">
        <v>2</v>
      </c>
      <c r="U2293" s="2" t="str">
        <f>IF(T2293&lt;=1, "1",IF(AND(T2293&gt;1,T2293&lt;4), "2-3", "+4"))</f>
        <v>2-3</v>
      </c>
      <c r="V2293" s="5">
        <f>S2293*T2293</f>
        <v>16.16</v>
      </c>
      <c r="W2293" s="6" t="s">
        <v>2595</v>
      </c>
    </row>
    <row r="2294" spans="1:24" ht="12.75" customHeight="1" x14ac:dyDescent="0.15">
      <c r="A2294" s="2" t="s">
        <v>299</v>
      </c>
      <c r="B2294" s="2" t="s">
        <v>3939</v>
      </c>
      <c r="C2294" s="2" t="s">
        <v>1040</v>
      </c>
      <c r="D2294" s="2" t="s">
        <v>443</v>
      </c>
      <c r="E2294" s="1" t="s">
        <v>3529</v>
      </c>
      <c r="F2294" s="2" t="s">
        <v>71</v>
      </c>
      <c r="H2294" s="2" t="s">
        <v>3887</v>
      </c>
      <c r="I2294" s="5"/>
      <c r="J2294" s="5"/>
      <c r="K2294" s="5">
        <v>12.09</v>
      </c>
      <c r="L2294" s="5"/>
      <c r="M2294" s="2" t="s">
        <v>571</v>
      </c>
      <c r="N2294" s="5"/>
      <c r="O2294" s="5"/>
      <c r="P2294" s="5"/>
      <c r="R2294" s="5"/>
      <c r="S2294" s="5"/>
      <c r="T2294" s="5"/>
      <c r="V2294" s="5"/>
      <c r="W2294" s="6" t="s">
        <v>4101</v>
      </c>
    </row>
    <row r="2295" spans="1:24" ht="12.75" customHeight="1" x14ac:dyDescent="0.15">
      <c r="A2295" s="2" t="s">
        <v>299</v>
      </c>
      <c r="B2295" s="2" t="s">
        <v>3939</v>
      </c>
      <c r="C2295" s="2" t="s">
        <v>1040</v>
      </c>
      <c r="D2295" s="2" t="s">
        <v>443</v>
      </c>
      <c r="E2295" s="1" t="s">
        <v>1042</v>
      </c>
      <c r="F2295" s="2" t="s">
        <v>214</v>
      </c>
      <c r="G2295" s="2">
        <v>41.54</v>
      </c>
      <c r="H2295" s="2" t="str">
        <f t="shared" ref="H2295:H2326" si="77">IF(G2295="captive","C","W")</f>
        <v>W</v>
      </c>
      <c r="I2295" s="5">
        <v>15</v>
      </c>
      <c r="J2295" s="5">
        <v>760</v>
      </c>
      <c r="K2295" s="5"/>
      <c r="L2295" s="5">
        <v>2</v>
      </c>
      <c r="M2295" s="2" t="s">
        <v>571</v>
      </c>
      <c r="N2295" s="5">
        <v>33.5</v>
      </c>
      <c r="O2295" s="5">
        <v>25.5</v>
      </c>
      <c r="P2295" s="5">
        <f xml:space="preserve"> 0.372*N2295 + 0.949*O2295- 23.83</f>
        <v>12.831500000000005</v>
      </c>
      <c r="Q2295" s="2" t="s">
        <v>376</v>
      </c>
      <c r="R2295" s="5">
        <v>25.66</v>
      </c>
      <c r="S2295" s="5">
        <v>3.38</v>
      </c>
      <c r="V2295" s="5"/>
      <c r="W2295" s="6" t="s">
        <v>3135</v>
      </c>
    </row>
    <row r="2296" spans="1:24" ht="12.75" customHeight="1" x14ac:dyDescent="0.15">
      <c r="A2296" s="2" t="s">
        <v>299</v>
      </c>
      <c r="B2296" s="2" t="s">
        <v>3939</v>
      </c>
      <c r="C2296" s="2" t="s">
        <v>1040</v>
      </c>
      <c r="D2296" s="2" t="s">
        <v>516</v>
      </c>
      <c r="E2296" s="1"/>
      <c r="F2296" s="2" t="s">
        <v>374</v>
      </c>
      <c r="G2296" s="2" t="s">
        <v>374</v>
      </c>
      <c r="H2296" s="2" t="str">
        <f t="shared" si="77"/>
        <v>C</v>
      </c>
      <c r="I2296" s="5"/>
      <c r="J2296" s="5"/>
      <c r="K2296" s="5"/>
      <c r="L2296" s="7">
        <f>MEDIAN(1,5)</f>
        <v>3</v>
      </c>
      <c r="M2296" s="2" t="s">
        <v>571</v>
      </c>
      <c r="N2296" s="5"/>
      <c r="O2296" s="5"/>
      <c r="P2296" s="5"/>
      <c r="R2296" s="5"/>
      <c r="S2296" s="5"/>
      <c r="T2296" s="7" t="s">
        <v>382</v>
      </c>
      <c r="U2296" s="40" t="s">
        <v>395</v>
      </c>
      <c r="V2296" s="5"/>
      <c r="W2296" s="6" t="s">
        <v>2592</v>
      </c>
    </row>
    <row r="2297" spans="1:24" ht="12.75" customHeight="1" x14ac:dyDescent="0.15">
      <c r="A2297" s="2" t="s">
        <v>299</v>
      </c>
      <c r="B2297" s="2" t="s">
        <v>3939</v>
      </c>
      <c r="C2297" s="2" t="s">
        <v>1040</v>
      </c>
      <c r="D2297" s="1" t="s">
        <v>516</v>
      </c>
      <c r="E2297" s="1"/>
      <c r="F2297" s="1" t="s">
        <v>374</v>
      </c>
      <c r="G2297" s="1" t="s">
        <v>374</v>
      </c>
      <c r="H2297" s="2" t="str">
        <f t="shared" si="77"/>
        <v>C</v>
      </c>
      <c r="I2297" s="8">
        <v>15.8</v>
      </c>
      <c r="J2297" s="8">
        <v>1117.67</v>
      </c>
      <c r="K2297" s="8"/>
      <c r="L2297" s="8">
        <v>3.33</v>
      </c>
      <c r="M2297" s="1" t="s">
        <v>571</v>
      </c>
      <c r="N2297" s="8">
        <v>41.5</v>
      </c>
      <c r="O2297" s="8">
        <v>28.5</v>
      </c>
      <c r="P2297" s="8">
        <v>18</v>
      </c>
      <c r="Q2297" s="2" t="s">
        <v>18</v>
      </c>
      <c r="R2297" s="8">
        <v>56.25</v>
      </c>
      <c r="S2297" s="8">
        <v>5.0330000000000004</v>
      </c>
      <c r="T2297" s="8">
        <v>1</v>
      </c>
      <c r="U2297" s="2" t="str">
        <f>IF(T2297&lt;=1, "1",IF(AND(T2297&gt;1,T2297&lt;4), "2-3", "+4"))</f>
        <v>1</v>
      </c>
      <c r="V2297" s="8">
        <v>5.0330000000000004</v>
      </c>
      <c r="W2297" s="6" t="s">
        <v>3953</v>
      </c>
      <c r="X2297" s="1"/>
    </row>
    <row r="2298" spans="1:24" x14ac:dyDescent="0.15">
      <c r="A2298" s="2" t="s">
        <v>299</v>
      </c>
      <c r="B2298" s="2" t="s">
        <v>3939</v>
      </c>
      <c r="C2298" s="2" t="s">
        <v>1040</v>
      </c>
      <c r="D2298" s="2" t="s">
        <v>516</v>
      </c>
      <c r="E2298" s="1"/>
      <c r="F2298" s="2" t="s">
        <v>374</v>
      </c>
      <c r="G2298" s="2" t="s">
        <v>374</v>
      </c>
      <c r="H2298" s="2" t="str">
        <f t="shared" si="77"/>
        <v>C</v>
      </c>
      <c r="I2298" s="5"/>
      <c r="J2298" s="5"/>
      <c r="K2298" s="5"/>
      <c r="L2298" s="7">
        <f>MEDIAN(2,4)</f>
        <v>3</v>
      </c>
      <c r="M2298" s="2" t="s">
        <v>571</v>
      </c>
      <c r="N2298" s="5">
        <f>MEDIAN(45,49)</f>
        <v>47</v>
      </c>
      <c r="O2298" s="5">
        <v>30</v>
      </c>
      <c r="P2298" s="5">
        <f>MEDIAN(22,27)</f>
        <v>24.5</v>
      </c>
      <c r="Q2298" s="2" t="s">
        <v>18</v>
      </c>
      <c r="R2298" s="5">
        <f>P2298*L2298</f>
        <v>73.5</v>
      </c>
      <c r="S2298" s="5"/>
      <c r="T2298" s="5"/>
      <c r="V2298" s="5"/>
      <c r="W2298" s="6" t="s">
        <v>3270</v>
      </c>
    </row>
    <row r="2299" spans="1:24" x14ac:dyDescent="0.15">
      <c r="A2299" s="2" t="s">
        <v>299</v>
      </c>
      <c r="B2299" s="2" t="s">
        <v>3939</v>
      </c>
      <c r="C2299" s="2" t="s">
        <v>1040</v>
      </c>
      <c r="D2299" s="2" t="s">
        <v>516</v>
      </c>
      <c r="E2299" s="1"/>
      <c r="F2299" s="2" t="s">
        <v>1922</v>
      </c>
      <c r="G2299" s="2">
        <v>40</v>
      </c>
      <c r="H2299" s="2" t="str">
        <f t="shared" si="77"/>
        <v>W</v>
      </c>
      <c r="I2299" s="5"/>
      <c r="J2299" s="5"/>
      <c r="K2299" s="5"/>
      <c r="L2299" s="5">
        <v>2.52</v>
      </c>
      <c r="M2299" s="2" t="s">
        <v>571</v>
      </c>
      <c r="N2299" s="5"/>
      <c r="O2299" s="5"/>
      <c r="P2299" s="5"/>
      <c r="R2299" s="5"/>
      <c r="S2299" s="5"/>
      <c r="T2299" s="7">
        <v>2.2999999999999998</v>
      </c>
      <c r="U2299" s="2" t="str">
        <f>IF(T2299&lt;=1, "1",IF(AND(T2299&gt;1,T2299&lt;4), "2-3", "+4"))</f>
        <v>2-3</v>
      </c>
      <c r="V2299" s="5"/>
      <c r="W2299" s="6" t="s">
        <v>2591</v>
      </c>
    </row>
    <row r="2300" spans="1:24" x14ac:dyDescent="0.15">
      <c r="A2300" s="2" t="s">
        <v>299</v>
      </c>
      <c r="B2300" s="2" t="s">
        <v>3939</v>
      </c>
      <c r="C2300" s="2" t="s">
        <v>1040</v>
      </c>
      <c r="D2300" s="2" t="s">
        <v>516</v>
      </c>
      <c r="E2300" s="1"/>
      <c r="F2300" s="2" t="s">
        <v>374</v>
      </c>
      <c r="G2300" s="2" t="s">
        <v>374</v>
      </c>
      <c r="H2300" s="2" t="str">
        <f t="shared" si="77"/>
        <v>C</v>
      </c>
      <c r="I2300" s="5"/>
      <c r="J2300" s="5"/>
      <c r="K2300" s="5"/>
      <c r="L2300" s="5">
        <v>3.5</v>
      </c>
      <c r="M2300" s="2" t="s">
        <v>571</v>
      </c>
      <c r="N2300" s="5"/>
      <c r="O2300" s="5"/>
      <c r="P2300" s="5">
        <v>21</v>
      </c>
      <c r="Q2300" s="2" t="s">
        <v>18</v>
      </c>
      <c r="R2300" s="5">
        <v>73.5</v>
      </c>
      <c r="S2300" s="5"/>
      <c r="T2300" s="7">
        <v>1.8</v>
      </c>
      <c r="U2300" s="2" t="str">
        <f>IF(T2300&lt;=1, "1",IF(AND(T2300&gt;1,T2300&lt;4), "2-3", "+4"))</f>
        <v>2-3</v>
      </c>
      <c r="V2300" s="5"/>
      <c r="W2300" s="6" t="s">
        <v>2593</v>
      </c>
    </row>
    <row r="2301" spans="1:24" x14ac:dyDescent="0.15">
      <c r="A2301" s="2" t="s">
        <v>299</v>
      </c>
      <c r="B2301" s="2" t="s">
        <v>3939</v>
      </c>
      <c r="C2301" s="2" t="s">
        <v>1040</v>
      </c>
      <c r="D2301" s="2" t="s">
        <v>516</v>
      </c>
      <c r="E2301" s="1"/>
      <c r="F2301" s="2" t="s">
        <v>635</v>
      </c>
      <c r="G2301" s="2" t="s">
        <v>371</v>
      </c>
      <c r="H2301" s="2" t="str">
        <f t="shared" si="77"/>
        <v>W</v>
      </c>
      <c r="I2301" s="5"/>
      <c r="J2301" s="5"/>
      <c r="K2301" s="5"/>
      <c r="L2301" s="7"/>
      <c r="M2301" s="2" t="s">
        <v>571</v>
      </c>
      <c r="N2301" s="5">
        <v>41</v>
      </c>
      <c r="O2301" s="5">
        <v>28</v>
      </c>
      <c r="P2301" s="5">
        <f xml:space="preserve"> 1.074*N2301 - 0.266*O2301 - 20.797</f>
        <v>15.789000000000005</v>
      </c>
      <c r="Q2301" s="2" t="s">
        <v>376</v>
      </c>
      <c r="R2301" s="5"/>
      <c r="S2301" s="5"/>
      <c r="V2301" s="5"/>
      <c r="W2301" s="6" t="s">
        <v>3271</v>
      </c>
    </row>
    <row r="2302" spans="1:24" x14ac:dyDescent="0.15">
      <c r="A2302" s="2" t="s">
        <v>299</v>
      </c>
      <c r="B2302" s="2" t="s">
        <v>3939</v>
      </c>
      <c r="C2302" s="2" t="s">
        <v>1040</v>
      </c>
      <c r="D2302" s="2" t="s">
        <v>516</v>
      </c>
      <c r="E2302" s="1"/>
      <c r="F2302" s="2" t="s">
        <v>3263</v>
      </c>
      <c r="G2302" s="2" t="s">
        <v>374</v>
      </c>
      <c r="H2302" s="2" t="str">
        <f t="shared" si="77"/>
        <v>C</v>
      </c>
      <c r="I2302" s="5"/>
      <c r="J2302" s="5"/>
      <c r="K2302" s="5">
        <v>7</v>
      </c>
      <c r="L2302" s="7">
        <v>2</v>
      </c>
      <c r="M2302" s="2" t="s">
        <v>571</v>
      </c>
      <c r="N2302" s="5"/>
      <c r="O2302" s="5"/>
      <c r="P2302" s="5"/>
      <c r="R2302" s="5"/>
      <c r="S2302" s="5"/>
      <c r="V2302" s="5"/>
      <c r="W2302" s="6" t="s">
        <v>3272</v>
      </c>
    </row>
    <row r="2303" spans="1:24" x14ac:dyDescent="0.15">
      <c r="A2303" s="2" t="s">
        <v>299</v>
      </c>
      <c r="B2303" s="2" t="s">
        <v>3939</v>
      </c>
      <c r="C2303" s="2" t="s">
        <v>1040</v>
      </c>
      <c r="D2303" s="2" t="s">
        <v>516</v>
      </c>
      <c r="E2303" s="1"/>
      <c r="F2303" s="2" t="s">
        <v>371</v>
      </c>
      <c r="G2303" s="2" t="s">
        <v>371</v>
      </c>
      <c r="H2303" s="2" t="str">
        <f t="shared" si="77"/>
        <v>W</v>
      </c>
      <c r="I2303" s="5"/>
      <c r="J2303" s="5"/>
      <c r="K2303" s="5"/>
      <c r="L2303" s="7">
        <v>5</v>
      </c>
      <c r="M2303" s="2" t="s">
        <v>571</v>
      </c>
      <c r="N2303" s="5">
        <v>50</v>
      </c>
      <c r="O2303" s="5">
        <v>35</v>
      </c>
      <c r="P2303" s="5">
        <f xml:space="preserve"> 1.074*N2303 - 0.266*O2303 - 20.797</f>
        <v>23.593</v>
      </c>
      <c r="Q2303" s="2" t="s">
        <v>376</v>
      </c>
      <c r="R2303" s="5">
        <f>P2303*L2303</f>
        <v>117.965</v>
      </c>
      <c r="S2303" s="5"/>
      <c r="V2303" s="5"/>
      <c r="W2303" s="6" t="s">
        <v>3273</v>
      </c>
    </row>
    <row r="2304" spans="1:24" x14ac:dyDescent="0.15">
      <c r="A2304" s="2" t="s">
        <v>299</v>
      </c>
      <c r="B2304" s="2" t="s">
        <v>3939</v>
      </c>
      <c r="C2304" s="2" t="s">
        <v>1040</v>
      </c>
      <c r="D2304" s="2" t="s">
        <v>516</v>
      </c>
      <c r="E2304" s="1"/>
      <c r="F2304" s="2" t="s">
        <v>371</v>
      </c>
      <c r="H2304" s="2" t="s">
        <v>3887</v>
      </c>
      <c r="I2304" s="5"/>
      <c r="J2304" s="5"/>
      <c r="K2304" s="7">
        <v>10</v>
      </c>
      <c r="L2304" s="7">
        <f>MEDIAN(2,5)</f>
        <v>3.5</v>
      </c>
      <c r="M2304" s="7" t="s">
        <v>571</v>
      </c>
      <c r="N2304" s="7"/>
      <c r="O2304" s="5">
        <f>MEDIAN(42,57)</f>
        <v>49.5</v>
      </c>
      <c r="P2304" s="5"/>
      <c r="R2304" s="5"/>
      <c r="S2304" s="5"/>
      <c r="T2304" s="7">
        <f>MEDIAN(2,3)</f>
        <v>2.5</v>
      </c>
      <c r="U2304" s="2" t="str">
        <f>IF(T2304&lt;=1, "1",IF(AND(T2304&gt;1,T2304&lt;4), "2-3", "+4"))</f>
        <v>2-3</v>
      </c>
      <c r="V2304" s="5"/>
      <c r="W2304" s="6" t="s">
        <v>2545</v>
      </c>
    </row>
    <row r="2305" spans="1:24" x14ac:dyDescent="0.15">
      <c r="A2305" s="2" t="s">
        <v>299</v>
      </c>
      <c r="B2305" s="2" t="s">
        <v>3939</v>
      </c>
      <c r="C2305" s="2" t="s">
        <v>1040</v>
      </c>
      <c r="D2305" s="2" t="s">
        <v>516</v>
      </c>
      <c r="E2305" s="1"/>
      <c r="F2305" s="2" t="s">
        <v>1922</v>
      </c>
      <c r="G2305" s="2" t="s">
        <v>374</v>
      </c>
      <c r="H2305" s="2" t="str">
        <f t="shared" si="77"/>
        <v>C</v>
      </c>
      <c r="I2305" s="5"/>
      <c r="J2305" s="5"/>
      <c r="K2305" s="7">
        <f>MEDIAN(11,14)</f>
        <v>12.5</v>
      </c>
      <c r="L2305" s="5">
        <v>6</v>
      </c>
      <c r="M2305" s="2" t="s">
        <v>571</v>
      </c>
      <c r="N2305" s="5"/>
      <c r="O2305" s="5"/>
      <c r="P2305" s="5"/>
      <c r="R2305" s="5"/>
      <c r="S2305" s="5"/>
      <c r="T2305" s="7">
        <f>MEDIAN(3,4)</f>
        <v>3.5</v>
      </c>
      <c r="U2305" s="2" t="str">
        <f>IF(T2305&lt;=1, "1",IF(AND(T2305&gt;1,T2305&lt;4), "2-3", "+4"))</f>
        <v>2-3</v>
      </c>
      <c r="V2305" s="5"/>
      <c r="W2305" s="6" t="s">
        <v>2590</v>
      </c>
    </row>
    <row r="2306" spans="1:24" ht="12.75" customHeight="1" x14ac:dyDescent="0.15">
      <c r="A2306" s="2" t="s">
        <v>299</v>
      </c>
      <c r="B2306" s="2" t="s">
        <v>3939</v>
      </c>
      <c r="C2306" s="2" t="s">
        <v>1040</v>
      </c>
      <c r="D2306" s="2" t="s">
        <v>516</v>
      </c>
      <c r="E2306" s="1"/>
      <c r="F2306" s="2" t="s">
        <v>374</v>
      </c>
      <c r="G2306" s="2" t="s">
        <v>374</v>
      </c>
      <c r="H2306" s="2" t="str">
        <f t="shared" si="77"/>
        <v>C</v>
      </c>
      <c r="I2306" s="5"/>
      <c r="J2306" s="5"/>
      <c r="K2306" s="7"/>
      <c r="L2306" s="7">
        <f>MEDIAN(3,5)</f>
        <v>4</v>
      </c>
      <c r="M2306" s="2" t="s">
        <v>571</v>
      </c>
      <c r="N2306" s="5">
        <v>42</v>
      </c>
      <c r="O2306" s="5">
        <v>30</v>
      </c>
      <c r="P2306" s="5">
        <f xml:space="preserve"> 1.074*N2306 - 0.266*O2306 - 20.797</f>
        <v>16.331</v>
      </c>
      <c r="Q2306" s="2" t="s">
        <v>376</v>
      </c>
      <c r="R2306" s="5">
        <f>P2306*L2306</f>
        <v>65.323999999999998</v>
      </c>
      <c r="S2306" s="5"/>
      <c r="T2306" s="9"/>
      <c r="U2306" s="9"/>
      <c r="V2306" s="5"/>
      <c r="W2306" s="6" t="s">
        <v>2582</v>
      </c>
    </row>
    <row r="2307" spans="1:24" x14ac:dyDescent="0.15">
      <c r="A2307" s="2" t="s">
        <v>299</v>
      </c>
      <c r="B2307" s="2" t="s">
        <v>3939</v>
      </c>
      <c r="C2307" s="2" t="s">
        <v>1040</v>
      </c>
      <c r="D2307" s="2" t="s">
        <v>516</v>
      </c>
      <c r="E2307" s="1" t="s">
        <v>4459</v>
      </c>
      <c r="F2307" s="2" t="s">
        <v>374</v>
      </c>
      <c r="G2307" s="2" t="s">
        <v>374</v>
      </c>
      <c r="H2307" s="2" t="str">
        <f t="shared" si="77"/>
        <v>C</v>
      </c>
      <c r="I2307" s="5">
        <f>MEDIAN(17,20)</f>
        <v>18.5</v>
      </c>
      <c r="J2307" s="5"/>
      <c r="K2307" s="5"/>
      <c r="L2307" s="5">
        <v>3</v>
      </c>
      <c r="M2307" s="2" t="s">
        <v>571</v>
      </c>
      <c r="N2307" s="5">
        <f>MEDIAN(35,45)</f>
        <v>40</v>
      </c>
      <c r="O2307" s="5">
        <f>MEDIAN(25,35)</f>
        <v>30</v>
      </c>
      <c r="P2307" s="5">
        <f>MEDIAN(20,25)</f>
        <v>22.5</v>
      </c>
      <c r="Q2307" s="2" t="s">
        <v>18</v>
      </c>
      <c r="R2307" s="5">
        <f>P2307*L2307</f>
        <v>67.5</v>
      </c>
      <c r="S2307" s="5"/>
      <c r="T2307" s="7">
        <f>MEDIAN(2,3)</f>
        <v>2.5</v>
      </c>
      <c r="U2307" s="2" t="str">
        <f>IF(T2307&lt;=1, "1",IF(AND(T2307&gt;1,T2307&lt;4), "2-3", "+4"))</f>
        <v>2-3</v>
      </c>
      <c r="V2307" s="5"/>
      <c r="W2307" s="6" t="s">
        <v>3301</v>
      </c>
    </row>
    <row r="2308" spans="1:24" x14ac:dyDescent="0.15">
      <c r="A2308" s="2" t="s">
        <v>299</v>
      </c>
      <c r="B2308" s="2" t="s">
        <v>3939</v>
      </c>
      <c r="C2308" s="2" t="s">
        <v>1040</v>
      </c>
      <c r="D2308" s="2" t="s">
        <v>516</v>
      </c>
      <c r="E2308" s="1"/>
      <c r="F2308" s="2" t="s">
        <v>374</v>
      </c>
      <c r="G2308" s="2" t="s">
        <v>374</v>
      </c>
      <c r="H2308" s="2" t="str">
        <f t="shared" si="77"/>
        <v>C</v>
      </c>
      <c r="I2308" s="5"/>
      <c r="J2308" s="5"/>
      <c r="K2308" s="5"/>
      <c r="L2308" s="5">
        <v>2</v>
      </c>
      <c r="M2308" s="2" t="s">
        <v>571</v>
      </c>
      <c r="N2308" s="5">
        <v>42.85</v>
      </c>
      <c r="O2308" s="5">
        <v>30.15</v>
      </c>
      <c r="P2308" s="5">
        <v>21.5</v>
      </c>
      <c r="Q2308" s="2" t="s">
        <v>18</v>
      </c>
      <c r="R2308" s="5">
        <f>P2308*L2308</f>
        <v>43</v>
      </c>
      <c r="S2308" s="5"/>
      <c r="V2308" s="5"/>
      <c r="W2308" s="6" t="s">
        <v>3274</v>
      </c>
    </row>
    <row r="2309" spans="1:24" ht="12.75" customHeight="1" x14ac:dyDescent="0.15">
      <c r="A2309" s="2" t="s">
        <v>299</v>
      </c>
      <c r="B2309" s="2" t="s">
        <v>3939</v>
      </c>
      <c r="C2309" s="2" t="s">
        <v>1040</v>
      </c>
      <c r="D2309" s="1" t="s">
        <v>516</v>
      </c>
      <c r="E2309" s="1"/>
      <c r="F2309" s="1" t="s">
        <v>374</v>
      </c>
      <c r="G2309" s="1" t="s">
        <v>374</v>
      </c>
      <c r="H2309" s="2" t="str">
        <f t="shared" si="77"/>
        <v>C</v>
      </c>
      <c r="I2309" s="8"/>
      <c r="J2309" s="8"/>
      <c r="K2309" s="8"/>
      <c r="L2309" s="8"/>
      <c r="M2309" s="1" t="s">
        <v>571</v>
      </c>
      <c r="N2309" s="8">
        <v>43</v>
      </c>
      <c r="O2309" s="8">
        <v>26</v>
      </c>
      <c r="P2309" s="8">
        <v>18.47</v>
      </c>
      <c r="Q2309" s="2" t="s">
        <v>376</v>
      </c>
      <c r="R2309" s="8"/>
      <c r="S2309" s="8"/>
      <c r="T2309" s="1"/>
      <c r="U2309" s="1"/>
      <c r="V2309" s="8"/>
      <c r="W2309" s="6" t="s">
        <v>3949</v>
      </c>
      <c r="X2309" s="1"/>
    </row>
    <row r="2310" spans="1:24" ht="12.75" customHeight="1" x14ac:dyDescent="0.15">
      <c r="A2310" s="1" t="s">
        <v>299</v>
      </c>
      <c r="B2310" s="2" t="s">
        <v>3939</v>
      </c>
      <c r="C2310" s="2" t="s">
        <v>1040</v>
      </c>
      <c r="D2310" s="1" t="s">
        <v>388</v>
      </c>
      <c r="E2310" s="1"/>
      <c r="F2310" s="1" t="s">
        <v>374</v>
      </c>
      <c r="G2310" s="1" t="s">
        <v>374</v>
      </c>
      <c r="H2310" s="2" t="str">
        <f t="shared" si="77"/>
        <v>C</v>
      </c>
      <c r="I2310" s="8"/>
      <c r="J2310" s="8">
        <v>279</v>
      </c>
      <c r="K2310" s="8">
        <v>3.5</v>
      </c>
      <c r="L2310" s="8">
        <v>4</v>
      </c>
      <c r="M2310" s="2" t="s">
        <v>571</v>
      </c>
      <c r="N2310" s="8"/>
      <c r="O2310" s="8">
        <v>27.5</v>
      </c>
      <c r="P2310" s="8">
        <v>6.5</v>
      </c>
      <c r="Q2310" s="1" t="s">
        <v>18</v>
      </c>
      <c r="R2310" s="8">
        <v>26</v>
      </c>
      <c r="S2310" s="8">
        <v>9.32</v>
      </c>
      <c r="T2310" s="1" t="s">
        <v>861</v>
      </c>
      <c r="U2310" s="1"/>
      <c r="V2310" s="8"/>
      <c r="W2310" s="6" t="s">
        <v>3603</v>
      </c>
    </row>
    <row r="2311" spans="1:24" ht="12.75" customHeight="1" x14ac:dyDescent="0.15">
      <c r="A2311" s="2" t="s">
        <v>299</v>
      </c>
      <c r="B2311" s="2" t="s">
        <v>3939</v>
      </c>
      <c r="C2311" s="2" t="s">
        <v>1040</v>
      </c>
      <c r="D2311" s="2" t="s">
        <v>388</v>
      </c>
      <c r="E2311" s="1"/>
      <c r="F2311" s="2" t="s">
        <v>374</v>
      </c>
      <c r="G2311" s="2" t="s">
        <v>374</v>
      </c>
      <c r="H2311" s="2" t="str">
        <f t="shared" si="77"/>
        <v>C</v>
      </c>
      <c r="I2311" s="5">
        <v>11.92</v>
      </c>
      <c r="J2311" s="5">
        <v>350</v>
      </c>
      <c r="K2311" s="5"/>
      <c r="L2311" s="5">
        <v>2.13</v>
      </c>
      <c r="M2311" s="2" t="s">
        <v>571</v>
      </c>
      <c r="N2311" s="5"/>
      <c r="O2311" s="5"/>
      <c r="P2311" s="5"/>
      <c r="R2311" s="5"/>
      <c r="S2311" s="5"/>
      <c r="T2311" s="9" t="s">
        <v>893</v>
      </c>
      <c r="U2311" s="41" t="s">
        <v>4047</v>
      </c>
      <c r="V2311" s="5"/>
      <c r="W2311" s="6" t="s">
        <v>2585</v>
      </c>
    </row>
    <row r="2312" spans="1:24" x14ac:dyDescent="0.15">
      <c r="A2312" s="2" t="s">
        <v>299</v>
      </c>
      <c r="B2312" s="2" t="s">
        <v>3939</v>
      </c>
      <c r="C2312" s="2" t="s">
        <v>1040</v>
      </c>
      <c r="D2312" s="2" t="s">
        <v>388</v>
      </c>
      <c r="E2312" s="1"/>
      <c r="F2312" s="2" t="s">
        <v>374</v>
      </c>
      <c r="G2312" s="2" t="s">
        <v>374</v>
      </c>
      <c r="H2312" s="2" t="str">
        <f t="shared" si="77"/>
        <v>C</v>
      </c>
      <c r="I2312" s="5">
        <v>12.1</v>
      </c>
      <c r="J2312" s="5">
        <v>364.3</v>
      </c>
      <c r="K2312" s="5"/>
      <c r="L2312" s="5">
        <v>2.0369999999999999</v>
      </c>
      <c r="M2312" s="5" t="s">
        <v>571</v>
      </c>
      <c r="N2312" s="5">
        <v>32.799999999999997</v>
      </c>
      <c r="O2312" s="5">
        <v>23.7</v>
      </c>
      <c r="P2312" s="5">
        <v>10.95</v>
      </c>
      <c r="Q2312" s="2" t="s">
        <v>18</v>
      </c>
      <c r="R2312" s="5">
        <v>22.31</v>
      </c>
      <c r="S2312" s="5">
        <f>(R2312/J2312)*100</f>
        <v>6.1240735657425196</v>
      </c>
      <c r="T2312" s="2" t="s">
        <v>382</v>
      </c>
      <c r="U2312" s="40" t="s">
        <v>395</v>
      </c>
      <c r="V2312" s="5"/>
      <c r="W2312" s="6" t="s">
        <v>2589</v>
      </c>
    </row>
    <row r="2313" spans="1:24" x14ac:dyDescent="0.15">
      <c r="A2313" s="2" t="s">
        <v>299</v>
      </c>
      <c r="B2313" s="2" t="s">
        <v>3939</v>
      </c>
      <c r="C2313" s="2" t="s">
        <v>1040</v>
      </c>
      <c r="D2313" s="2" t="s">
        <v>388</v>
      </c>
      <c r="E2313" s="1"/>
      <c r="F2313" s="2" t="s">
        <v>374</v>
      </c>
      <c r="G2313" s="2" t="s">
        <v>374</v>
      </c>
      <c r="H2313" s="2" t="str">
        <f t="shared" si="77"/>
        <v>C</v>
      </c>
      <c r="I2313" s="5">
        <v>12.3</v>
      </c>
      <c r="J2313" s="5">
        <v>380</v>
      </c>
      <c r="K2313" s="5"/>
      <c r="L2313" s="5">
        <v>2</v>
      </c>
      <c r="M2313" s="5" t="s">
        <v>571</v>
      </c>
      <c r="N2313" s="5">
        <v>32.1</v>
      </c>
      <c r="O2313" s="5">
        <v>23.9</v>
      </c>
      <c r="P2313" s="5">
        <v>11.5</v>
      </c>
      <c r="Q2313" s="2" t="s">
        <v>18</v>
      </c>
      <c r="R2313" s="5">
        <v>23</v>
      </c>
      <c r="S2313" s="5">
        <v>6.05</v>
      </c>
      <c r="T2313" s="5">
        <v>3</v>
      </c>
      <c r="U2313" s="2" t="str">
        <f>IF(T2313&lt;=1, "1",IF(AND(T2313&gt;1,T2313&lt;4), "2-3", "+4"))</f>
        <v>2-3</v>
      </c>
      <c r="V2313" s="5">
        <f>S2313*T2313</f>
        <v>18.149999999999999</v>
      </c>
      <c r="W2313" s="6" t="s">
        <v>2588</v>
      </c>
    </row>
    <row r="2314" spans="1:24" x14ac:dyDescent="0.15">
      <c r="A2314" s="2" t="s">
        <v>299</v>
      </c>
      <c r="B2314" s="2" t="s">
        <v>3939</v>
      </c>
      <c r="C2314" s="2" t="s">
        <v>1040</v>
      </c>
      <c r="D2314" s="2" t="s">
        <v>388</v>
      </c>
      <c r="E2314" s="1"/>
      <c r="F2314" s="2" t="s">
        <v>349</v>
      </c>
      <c r="G2314" s="2">
        <v>34</v>
      </c>
      <c r="H2314" s="2" t="str">
        <f t="shared" si="77"/>
        <v>W</v>
      </c>
      <c r="I2314" s="5">
        <v>11.29</v>
      </c>
      <c r="J2314" s="5">
        <v>300.95999999999998</v>
      </c>
      <c r="K2314" s="5"/>
      <c r="L2314" s="5">
        <v>1.71</v>
      </c>
      <c r="M2314" s="2" t="s">
        <v>571</v>
      </c>
      <c r="N2314" s="5"/>
      <c r="O2314" s="5">
        <v>21.4</v>
      </c>
      <c r="P2314" s="5"/>
      <c r="R2314" s="5"/>
      <c r="S2314" s="5"/>
      <c r="T2314" s="2" t="s">
        <v>122</v>
      </c>
      <c r="V2314" s="5"/>
      <c r="W2314" s="6" t="s">
        <v>2131</v>
      </c>
    </row>
    <row r="2315" spans="1:24" x14ac:dyDescent="0.15">
      <c r="A2315" s="2" t="s">
        <v>299</v>
      </c>
      <c r="B2315" s="2" t="s">
        <v>3939</v>
      </c>
      <c r="C2315" s="2" t="s">
        <v>1040</v>
      </c>
      <c r="D2315" s="2" t="s">
        <v>388</v>
      </c>
      <c r="E2315" s="1"/>
      <c r="F2315" s="2" t="s">
        <v>374</v>
      </c>
      <c r="G2315" s="2" t="s">
        <v>374</v>
      </c>
      <c r="H2315" s="2" t="str">
        <f t="shared" si="77"/>
        <v>C</v>
      </c>
      <c r="I2315" s="5">
        <v>10.97</v>
      </c>
      <c r="J2315" s="5">
        <v>276</v>
      </c>
      <c r="K2315" s="5"/>
      <c r="L2315" s="5">
        <v>2.5</v>
      </c>
      <c r="M2315" s="2" t="s">
        <v>571</v>
      </c>
      <c r="N2315" s="5">
        <v>29.5</v>
      </c>
      <c r="O2315" s="5">
        <v>21.875</v>
      </c>
      <c r="P2315" s="5">
        <v>7.9375</v>
      </c>
      <c r="Q2315" s="2" t="s">
        <v>18</v>
      </c>
      <c r="R2315" s="5">
        <v>19.875</v>
      </c>
      <c r="S2315" s="5">
        <v>7.2009999999999996</v>
      </c>
      <c r="T2315" s="7">
        <f>MEDIAN(1,2)</f>
        <v>1.5</v>
      </c>
      <c r="U2315" s="2" t="str">
        <f>IF(T2315&lt;=1, "1",IF(AND(T2315&gt;1,T2315&lt;4), "2-3", "+4"))</f>
        <v>2-3</v>
      </c>
      <c r="V2315" s="33">
        <f>T2315*S2315</f>
        <v>10.801499999999999</v>
      </c>
      <c r="W2315" s="6" t="s">
        <v>2584</v>
      </c>
    </row>
    <row r="2316" spans="1:24" x14ac:dyDescent="0.15">
      <c r="A2316" s="2" t="s">
        <v>299</v>
      </c>
      <c r="B2316" s="2" t="s">
        <v>3939</v>
      </c>
      <c r="C2316" s="2" t="s">
        <v>1040</v>
      </c>
      <c r="D2316" s="2" t="s">
        <v>388</v>
      </c>
      <c r="E2316" s="1"/>
      <c r="F2316" s="2" t="s">
        <v>3258</v>
      </c>
      <c r="H2316" s="2" t="s">
        <v>3887</v>
      </c>
      <c r="I2316" s="5"/>
      <c r="J2316" s="5"/>
      <c r="K2316" s="5"/>
      <c r="L2316" s="5"/>
      <c r="M2316" s="2" t="s">
        <v>571</v>
      </c>
      <c r="N2316" s="5">
        <v>29</v>
      </c>
      <c r="O2316" s="5">
        <v>22.75</v>
      </c>
      <c r="P2316" s="5">
        <f xml:space="preserve"> 0.372*N2316 + 0.949*O2316 - 23.83</f>
        <v>8.5477500000000006</v>
      </c>
      <c r="Q2316" s="2" t="s">
        <v>376</v>
      </c>
      <c r="R2316" s="5"/>
      <c r="S2316" s="5"/>
      <c r="V2316" s="5"/>
      <c r="W2316" s="6" t="s">
        <v>1954</v>
      </c>
    </row>
    <row r="2317" spans="1:24" x14ac:dyDescent="0.15">
      <c r="A2317" s="2" t="s">
        <v>299</v>
      </c>
      <c r="B2317" s="2" t="s">
        <v>3939</v>
      </c>
      <c r="C2317" s="2" t="s">
        <v>1040</v>
      </c>
      <c r="D2317" s="2" t="s">
        <v>388</v>
      </c>
      <c r="E2317" s="1"/>
      <c r="F2317" s="2" t="s">
        <v>374</v>
      </c>
      <c r="G2317" s="2" t="s">
        <v>374</v>
      </c>
      <c r="H2317" s="2" t="str">
        <f t="shared" si="77"/>
        <v>C</v>
      </c>
      <c r="I2317" s="5"/>
      <c r="J2317" s="5"/>
      <c r="K2317" s="5"/>
      <c r="L2317" s="5">
        <v>2.0499999999999998</v>
      </c>
      <c r="M2317" s="2" t="s">
        <v>571</v>
      </c>
      <c r="N2317" s="5">
        <v>30.5</v>
      </c>
      <c r="O2317" s="5">
        <v>24.2</v>
      </c>
      <c r="P2317" s="5">
        <v>10.5</v>
      </c>
      <c r="Q2317" s="2" t="s">
        <v>18</v>
      </c>
      <c r="R2317" s="5">
        <v>21.524999999999999</v>
      </c>
      <c r="S2317" s="5"/>
      <c r="T2317" s="7">
        <f>MEDIAN(1,4)</f>
        <v>2.5</v>
      </c>
      <c r="U2317" s="2" t="str">
        <f>IF(T2317&lt;=1, "1",IF(AND(T2317&gt;1,T2317&lt;4), "2-3", "+4"))</f>
        <v>2-3</v>
      </c>
      <c r="V2317" s="5"/>
      <c r="W2317" s="6" t="s">
        <v>2586</v>
      </c>
    </row>
    <row r="2318" spans="1:24" x14ac:dyDescent="0.15">
      <c r="A2318" s="2" t="s">
        <v>299</v>
      </c>
      <c r="B2318" s="2" t="s">
        <v>3939</v>
      </c>
      <c r="C2318" s="2" t="s">
        <v>1040</v>
      </c>
      <c r="D2318" s="2" t="s">
        <v>388</v>
      </c>
      <c r="E2318" s="1"/>
      <c r="F2318" s="2" t="s">
        <v>374</v>
      </c>
      <c r="G2318" s="2" t="s">
        <v>374</v>
      </c>
      <c r="H2318" s="2" t="str">
        <f t="shared" si="77"/>
        <v>C</v>
      </c>
      <c r="I2318" s="5"/>
      <c r="J2318" s="5"/>
      <c r="K2318" s="5"/>
      <c r="L2318" s="5">
        <v>2</v>
      </c>
      <c r="M2318" s="2" t="s">
        <v>571</v>
      </c>
      <c r="N2318" s="5"/>
      <c r="O2318" s="5"/>
      <c r="P2318" s="5"/>
      <c r="R2318" s="5"/>
      <c r="S2318" s="5"/>
      <c r="T2318" s="2" t="s">
        <v>372</v>
      </c>
      <c r="U2318" s="40" t="s">
        <v>395</v>
      </c>
      <c r="V2318" s="5"/>
      <c r="W2318" s="6" t="s">
        <v>2583</v>
      </c>
    </row>
    <row r="2319" spans="1:24" x14ac:dyDescent="0.15">
      <c r="A2319" s="2" t="s">
        <v>299</v>
      </c>
      <c r="B2319" s="2" t="s">
        <v>3939</v>
      </c>
      <c r="C2319" s="2" t="s">
        <v>1040</v>
      </c>
      <c r="D2319" s="2" t="s">
        <v>388</v>
      </c>
      <c r="E2319" s="1"/>
      <c r="F2319" s="2" t="s">
        <v>371</v>
      </c>
      <c r="H2319" s="2" t="s">
        <v>3887</v>
      </c>
      <c r="I2319" s="5">
        <v>10</v>
      </c>
      <c r="J2319" s="5">
        <v>200</v>
      </c>
      <c r="K2319" s="5"/>
      <c r="L2319" s="5">
        <v>2</v>
      </c>
      <c r="M2319" s="5" t="s">
        <v>571</v>
      </c>
      <c r="N2319" s="5"/>
      <c r="O2319" s="5"/>
      <c r="P2319" s="5"/>
      <c r="R2319" s="5"/>
      <c r="S2319" s="5"/>
      <c r="T2319" s="7">
        <f>MEDIAN(2,3)</f>
        <v>2.5</v>
      </c>
      <c r="U2319" s="2" t="str">
        <f>IF(T2319&lt;=1, "1",IF(AND(T2319&gt;1,T2319&lt;4), "2-3", "+4"))</f>
        <v>2-3</v>
      </c>
      <c r="V2319" s="5"/>
      <c r="W2319" s="6" t="s">
        <v>2587</v>
      </c>
    </row>
    <row r="2320" spans="1:24" x14ac:dyDescent="0.15">
      <c r="A2320" s="2" t="s">
        <v>299</v>
      </c>
      <c r="B2320" s="2" t="s">
        <v>3939</v>
      </c>
      <c r="C2320" s="2" t="s">
        <v>1040</v>
      </c>
      <c r="D2320" s="2" t="s">
        <v>388</v>
      </c>
      <c r="E2320" s="1"/>
      <c r="F2320" s="2" t="s">
        <v>374</v>
      </c>
      <c r="G2320" s="2" t="s">
        <v>374</v>
      </c>
      <c r="H2320" s="2" t="str">
        <f t="shared" si="77"/>
        <v>C</v>
      </c>
      <c r="I2320" s="5">
        <v>13.26</v>
      </c>
      <c r="J2320" s="5">
        <v>455</v>
      </c>
      <c r="K2320" s="5">
        <v>5</v>
      </c>
      <c r="L2320" s="7">
        <v>2</v>
      </c>
      <c r="M2320" s="2" t="s">
        <v>571</v>
      </c>
      <c r="N2320" s="5"/>
      <c r="O2320" s="5"/>
      <c r="P2320" s="5"/>
      <c r="R2320" s="5"/>
      <c r="S2320" s="5"/>
      <c r="V2320" s="5"/>
      <c r="W2320" s="6" t="s">
        <v>3886</v>
      </c>
    </row>
    <row r="2321" spans="1:23" x14ac:dyDescent="0.15">
      <c r="A2321" s="2" t="s">
        <v>299</v>
      </c>
      <c r="B2321" s="2" t="s">
        <v>3939</v>
      </c>
      <c r="C2321" s="2" t="s">
        <v>1040</v>
      </c>
      <c r="D2321" s="2" t="s">
        <v>388</v>
      </c>
      <c r="E2321" s="1"/>
      <c r="F2321" s="2" t="s">
        <v>374</v>
      </c>
      <c r="G2321" s="2" t="s">
        <v>374</v>
      </c>
      <c r="H2321" s="2" t="str">
        <f t="shared" si="77"/>
        <v>C</v>
      </c>
      <c r="I2321" s="5"/>
      <c r="J2321" s="5"/>
      <c r="K2321" s="5"/>
      <c r="L2321" s="7">
        <f>MEDIAN(1,3)</f>
        <v>2</v>
      </c>
      <c r="M2321" s="2" t="s">
        <v>571</v>
      </c>
      <c r="N2321" s="5">
        <v>30</v>
      </c>
      <c r="O2321" s="5">
        <v>23</v>
      </c>
      <c r="P2321" s="5">
        <f xml:space="preserve"> 0.372*N2321 + 0.949*O2321 - 23.83</f>
        <v>9.1569999999999965</v>
      </c>
      <c r="Q2321" s="2" t="s">
        <v>376</v>
      </c>
      <c r="R2321" s="5">
        <f>P2321*L2321</f>
        <v>18.313999999999993</v>
      </c>
      <c r="S2321" s="5"/>
      <c r="V2321" s="5"/>
      <c r="W2321" s="6" t="s">
        <v>2582</v>
      </c>
    </row>
    <row r="2322" spans="1:23" x14ac:dyDescent="0.15">
      <c r="A2322" s="2" t="s">
        <v>299</v>
      </c>
      <c r="B2322" s="2" t="s">
        <v>3939</v>
      </c>
      <c r="C2322" s="2" t="s">
        <v>1040</v>
      </c>
      <c r="D2322" s="2" t="s">
        <v>814</v>
      </c>
      <c r="E2322" s="1"/>
      <c r="F2322" s="2" t="s">
        <v>374</v>
      </c>
      <c r="G2322" s="2" t="s">
        <v>374</v>
      </c>
      <c r="H2322" s="2" t="str">
        <f t="shared" si="77"/>
        <v>C</v>
      </c>
      <c r="I2322" s="5">
        <v>24.98</v>
      </c>
      <c r="J2322" s="5">
        <v>1942</v>
      </c>
      <c r="K2322" s="5"/>
      <c r="L2322" s="7">
        <f>MEDIAN(5,8)</f>
        <v>6.5</v>
      </c>
      <c r="M2322" s="2" t="s">
        <v>571</v>
      </c>
      <c r="N2322" s="5"/>
      <c r="O2322" s="5"/>
      <c r="P2322" s="5"/>
      <c r="R2322" s="5"/>
      <c r="S2322" s="5"/>
      <c r="T2322" s="7" t="s">
        <v>382</v>
      </c>
      <c r="U2322" s="40" t="s">
        <v>395</v>
      </c>
      <c r="V2322" s="5"/>
      <c r="W2322" s="6" t="s">
        <v>2535</v>
      </c>
    </row>
    <row r="2323" spans="1:23" x14ac:dyDescent="0.15">
      <c r="A2323" s="2" t="s">
        <v>299</v>
      </c>
      <c r="B2323" s="2" t="s">
        <v>3939</v>
      </c>
      <c r="C2323" s="2" t="s">
        <v>1040</v>
      </c>
      <c r="D2323" s="2" t="s">
        <v>814</v>
      </c>
      <c r="E2323" s="1"/>
      <c r="F2323" s="2" t="s">
        <v>374</v>
      </c>
      <c r="G2323" s="2" t="s">
        <v>374</v>
      </c>
      <c r="H2323" s="2" t="str">
        <f t="shared" si="77"/>
        <v>C</v>
      </c>
      <c r="I2323" s="5">
        <v>18</v>
      </c>
      <c r="J2323" s="5">
        <v>2464</v>
      </c>
      <c r="K2323" s="5"/>
      <c r="L2323" s="5">
        <v>6</v>
      </c>
      <c r="M2323" s="2" t="s">
        <v>571</v>
      </c>
      <c r="N2323" s="5"/>
      <c r="O2323" s="5"/>
      <c r="P2323" s="5"/>
      <c r="R2323" s="5"/>
      <c r="S2323" s="5"/>
      <c r="T2323" s="2" t="s">
        <v>382</v>
      </c>
      <c r="U2323" s="40" t="s">
        <v>395</v>
      </c>
      <c r="V2323" s="5"/>
      <c r="W2323" s="6" t="s">
        <v>2579</v>
      </c>
    </row>
    <row r="2324" spans="1:23" x14ac:dyDescent="0.15">
      <c r="A2324" s="2" t="s">
        <v>299</v>
      </c>
      <c r="B2324" s="2" t="s">
        <v>3939</v>
      </c>
      <c r="C2324" s="2" t="s">
        <v>1040</v>
      </c>
      <c r="D2324" s="2" t="s">
        <v>814</v>
      </c>
      <c r="E2324" s="1"/>
      <c r="F2324" s="2" t="s">
        <v>1923</v>
      </c>
      <c r="G2324" s="2" t="s">
        <v>374</v>
      </c>
      <c r="H2324" s="2" t="str">
        <f t="shared" si="77"/>
        <v>C</v>
      </c>
      <c r="I2324" s="5">
        <v>23.1</v>
      </c>
      <c r="J2324" s="5">
        <v>1734</v>
      </c>
      <c r="K2324" s="5"/>
      <c r="L2324" s="5">
        <v>5.8</v>
      </c>
      <c r="M2324" s="2" t="s">
        <v>571</v>
      </c>
      <c r="N2324" s="5">
        <v>32.700000000000003</v>
      </c>
      <c r="O2324" s="5">
        <v>28.6</v>
      </c>
      <c r="P2324" s="5">
        <v>14.4</v>
      </c>
      <c r="Q2324" s="2" t="s">
        <v>18</v>
      </c>
      <c r="R2324" s="5">
        <v>83.52</v>
      </c>
      <c r="S2324" s="5">
        <v>4.82</v>
      </c>
      <c r="T2324" s="7">
        <v>2</v>
      </c>
      <c r="U2324" s="2" t="str">
        <f t="shared" ref="U2324:U2329" si="78">IF(T2324&lt;=1, "1",IF(AND(T2324&gt;1,T2324&lt;4), "2-3", "+4"))</f>
        <v>2-3</v>
      </c>
      <c r="V2324" s="5">
        <f>S2324*T2324</f>
        <v>9.64</v>
      </c>
      <c r="W2324" s="6" t="s">
        <v>2577</v>
      </c>
    </row>
    <row r="2325" spans="1:23" x14ac:dyDescent="0.15">
      <c r="A2325" s="2" t="s">
        <v>299</v>
      </c>
      <c r="B2325" s="2" t="s">
        <v>3939</v>
      </c>
      <c r="C2325" s="2" t="s">
        <v>1040</v>
      </c>
      <c r="D2325" s="2" t="s">
        <v>814</v>
      </c>
      <c r="E2325" s="1"/>
      <c r="F2325" s="2" t="s">
        <v>374</v>
      </c>
      <c r="G2325" s="2" t="s">
        <v>374</v>
      </c>
      <c r="H2325" s="2" t="str">
        <f t="shared" si="77"/>
        <v>C</v>
      </c>
      <c r="I2325" s="5">
        <v>25.62</v>
      </c>
      <c r="J2325" s="5">
        <v>2314</v>
      </c>
      <c r="K2325" s="5"/>
      <c r="L2325" s="5">
        <v>6.6</v>
      </c>
      <c r="M2325" s="2" t="s">
        <v>571</v>
      </c>
      <c r="N2325" s="5">
        <v>34.200000000000003</v>
      </c>
      <c r="O2325" s="5">
        <v>30</v>
      </c>
      <c r="P2325" s="5">
        <v>16.7</v>
      </c>
      <c r="Q2325" s="2" t="s">
        <v>18</v>
      </c>
      <c r="R2325" s="5">
        <v>110.22</v>
      </c>
      <c r="S2325" s="5">
        <v>4.7699999999999996</v>
      </c>
      <c r="T2325" s="7">
        <f>MEDIAN(2,3)</f>
        <v>2.5</v>
      </c>
      <c r="U2325" s="2" t="str">
        <f t="shared" si="78"/>
        <v>2-3</v>
      </c>
      <c r="V2325" s="33">
        <f>T2325*S2325</f>
        <v>11.924999999999999</v>
      </c>
      <c r="W2325" s="6" t="s">
        <v>2577</v>
      </c>
    </row>
    <row r="2326" spans="1:23" x14ac:dyDescent="0.15">
      <c r="A2326" s="4" t="s">
        <v>299</v>
      </c>
      <c r="B2326" s="2" t="s">
        <v>3939</v>
      </c>
      <c r="C2326" s="4" t="s">
        <v>1040</v>
      </c>
      <c r="D2326" s="4" t="s">
        <v>814</v>
      </c>
      <c r="E2326" s="1"/>
      <c r="F2326" s="4" t="s">
        <v>345</v>
      </c>
      <c r="G2326" s="4">
        <v>41</v>
      </c>
      <c r="H2326" s="2" t="str">
        <f t="shared" si="77"/>
        <v>W</v>
      </c>
      <c r="I2326" s="5">
        <v>25.3</v>
      </c>
      <c r="J2326" s="5">
        <v>2080</v>
      </c>
      <c r="K2326" s="33"/>
      <c r="L2326" s="33">
        <v>5.6</v>
      </c>
      <c r="M2326" s="4" t="s">
        <v>571</v>
      </c>
      <c r="N2326" s="33">
        <v>33.700000000000003</v>
      </c>
      <c r="O2326" s="5">
        <v>29.4</v>
      </c>
      <c r="P2326" s="5">
        <v>17.3</v>
      </c>
      <c r="Q2326" s="2" t="s">
        <v>18</v>
      </c>
      <c r="R2326" s="5">
        <v>97</v>
      </c>
      <c r="S2326" s="5">
        <v>4.5</v>
      </c>
      <c r="T2326" s="5">
        <v>2.6</v>
      </c>
      <c r="U2326" s="2" t="str">
        <f t="shared" si="78"/>
        <v>2-3</v>
      </c>
      <c r="V2326" s="5">
        <v>11.7</v>
      </c>
      <c r="W2326" s="10" t="s">
        <v>1873</v>
      </c>
    </row>
    <row r="2327" spans="1:23" x14ac:dyDescent="0.15">
      <c r="A2327" s="2" t="s">
        <v>299</v>
      </c>
      <c r="B2327" s="2" t="s">
        <v>3939</v>
      </c>
      <c r="C2327" s="2" t="s">
        <v>1040</v>
      </c>
      <c r="D2327" s="2" t="s">
        <v>814</v>
      </c>
      <c r="E2327" s="1"/>
      <c r="F2327" s="2" t="s">
        <v>374</v>
      </c>
      <c r="G2327" s="2" t="s">
        <v>374</v>
      </c>
      <c r="H2327" s="2" t="str">
        <f t="shared" ref="H2327:H2357" si="79">IF(G2327="captive","C","W")</f>
        <v>C</v>
      </c>
      <c r="I2327" s="5">
        <v>27</v>
      </c>
      <c r="J2327" s="5">
        <f xml:space="preserve"> 0.0005977*(I2327*10)^2.747</f>
        <v>2853.905023878558</v>
      </c>
      <c r="K2327" s="5"/>
      <c r="L2327" s="5">
        <v>6.5</v>
      </c>
      <c r="M2327" s="2" t="s">
        <v>571</v>
      </c>
      <c r="N2327" s="5"/>
      <c r="O2327" s="5"/>
      <c r="P2327" s="5"/>
      <c r="R2327" s="5"/>
      <c r="S2327" s="5"/>
      <c r="T2327" s="5">
        <v>2</v>
      </c>
      <c r="U2327" s="2" t="str">
        <f t="shared" si="78"/>
        <v>2-3</v>
      </c>
      <c r="V2327" s="5"/>
      <c r="W2327" s="6" t="s">
        <v>3302</v>
      </c>
    </row>
    <row r="2328" spans="1:23" x14ac:dyDescent="0.15">
      <c r="A2328" s="2" t="s">
        <v>299</v>
      </c>
      <c r="B2328" s="2" t="s">
        <v>3939</v>
      </c>
      <c r="C2328" s="2" t="s">
        <v>1040</v>
      </c>
      <c r="D2328" s="2" t="s">
        <v>814</v>
      </c>
      <c r="E2328" s="1"/>
      <c r="F2328" s="2" t="s">
        <v>374</v>
      </c>
      <c r="G2328" s="2" t="s">
        <v>374</v>
      </c>
      <c r="H2328" s="2" t="str">
        <f t="shared" si="79"/>
        <v>C</v>
      </c>
      <c r="I2328" s="5">
        <v>32.5</v>
      </c>
      <c r="J2328" s="5">
        <v>4250</v>
      </c>
      <c r="K2328" s="5"/>
      <c r="L2328" s="5">
        <v>10</v>
      </c>
      <c r="M2328" s="2" t="s">
        <v>571</v>
      </c>
      <c r="N2328" s="5">
        <v>32</v>
      </c>
      <c r="O2328" s="5">
        <v>32</v>
      </c>
      <c r="P2328" s="5">
        <v>18.440000000000001</v>
      </c>
      <c r="Q2328" s="2" t="s">
        <v>376</v>
      </c>
      <c r="R2328" s="5">
        <v>184.42</v>
      </c>
      <c r="S2328" s="5">
        <v>4.34</v>
      </c>
      <c r="T2328" s="5">
        <v>2</v>
      </c>
      <c r="U2328" s="2" t="str">
        <f t="shared" si="78"/>
        <v>2-3</v>
      </c>
      <c r="V2328" s="5">
        <f>S2328*T2328</f>
        <v>8.68</v>
      </c>
      <c r="W2328" s="6" t="s">
        <v>2580</v>
      </c>
    </row>
    <row r="2329" spans="1:23" x14ac:dyDescent="0.15">
      <c r="A2329" s="2" t="s">
        <v>299</v>
      </c>
      <c r="B2329" s="2" t="s">
        <v>3939</v>
      </c>
      <c r="C2329" s="2" t="s">
        <v>1040</v>
      </c>
      <c r="D2329" s="2" t="s">
        <v>814</v>
      </c>
      <c r="E2329" s="1"/>
      <c r="F2329" s="2" t="s">
        <v>374</v>
      </c>
      <c r="G2329" s="2" t="s">
        <v>374</v>
      </c>
      <c r="H2329" s="2" t="str">
        <f t="shared" si="79"/>
        <v>C</v>
      </c>
      <c r="I2329" s="5">
        <f>(EXP((LN(J2329/0.0005977))/2.747))/10</f>
        <v>32.50181876488471</v>
      </c>
      <c r="J2329" s="5">
        <v>4750</v>
      </c>
      <c r="K2329" s="5"/>
      <c r="L2329" s="5">
        <v>13</v>
      </c>
      <c r="M2329" s="2" t="s">
        <v>571</v>
      </c>
      <c r="N2329" s="5"/>
      <c r="O2329" s="5"/>
      <c r="P2329" s="5"/>
      <c r="R2329" s="5"/>
      <c r="S2329" s="5"/>
      <c r="T2329" s="5">
        <v>3</v>
      </c>
      <c r="U2329" s="2" t="str">
        <f t="shared" si="78"/>
        <v>2-3</v>
      </c>
      <c r="V2329" s="5"/>
      <c r="W2329" s="6" t="s">
        <v>2581</v>
      </c>
    </row>
    <row r="2330" spans="1:23" x14ac:dyDescent="0.15">
      <c r="A2330" s="2" t="s">
        <v>299</v>
      </c>
      <c r="B2330" s="2" t="s">
        <v>3939</v>
      </c>
      <c r="C2330" s="2" t="s">
        <v>1040</v>
      </c>
      <c r="D2330" s="2" t="s">
        <v>814</v>
      </c>
      <c r="E2330" s="1"/>
      <c r="F2330" s="2" t="s">
        <v>374</v>
      </c>
      <c r="G2330" s="2" t="s">
        <v>374</v>
      </c>
      <c r="H2330" s="2" t="str">
        <f t="shared" si="79"/>
        <v>C</v>
      </c>
      <c r="I2330" s="5"/>
      <c r="J2330" s="5"/>
      <c r="K2330" s="5"/>
      <c r="L2330" s="5">
        <v>9.5</v>
      </c>
      <c r="M2330" s="2" t="s">
        <v>571</v>
      </c>
      <c r="N2330" s="5">
        <v>31.9</v>
      </c>
      <c r="O2330" s="5">
        <v>29.1</v>
      </c>
      <c r="P2330" s="5">
        <v>15.57</v>
      </c>
      <c r="Q2330" s="2" t="s">
        <v>18</v>
      </c>
      <c r="R2330" s="5">
        <v>147.87</v>
      </c>
      <c r="S2330" s="5"/>
      <c r="V2330" s="5"/>
      <c r="W2330" s="6" t="s">
        <v>2578</v>
      </c>
    </row>
    <row r="2331" spans="1:23" x14ac:dyDescent="0.15">
      <c r="A2331" s="2" t="s">
        <v>350</v>
      </c>
      <c r="B2331" s="2" t="s">
        <v>3941</v>
      </c>
      <c r="C2331" s="2" t="s">
        <v>3530</v>
      </c>
      <c r="D2331" s="2" t="s">
        <v>815</v>
      </c>
      <c r="E2331" s="1" t="s">
        <v>3828</v>
      </c>
      <c r="F2331" s="2" t="s">
        <v>3877</v>
      </c>
      <c r="G2331" s="2" t="s">
        <v>374</v>
      </c>
      <c r="H2331" s="2" t="str">
        <f t="shared" si="79"/>
        <v>C</v>
      </c>
      <c r="I2331" s="5"/>
      <c r="J2331" s="5"/>
      <c r="K2331" s="5"/>
      <c r="L2331" s="5">
        <v>21</v>
      </c>
      <c r="M2331" s="2" t="s">
        <v>571</v>
      </c>
      <c r="N2331" s="5"/>
      <c r="O2331" s="5"/>
      <c r="P2331" s="5"/>
      <c r="R2331" s="5"/>
      <c r="S2331" s="5"/>
      <c r="T2331" s="7"/>
      <c r="U2331" s="7"/>
      <c r="V2331" s="5"/>
      <c r="W2331" s="6" t="s">
        <v>3878</v>
      </c>
    </row>
    <row r="2332" spans="1:23" x14ac:dyDescent="0.15">
      <c r="A2332" s="2" t="s">
        <v>350</v>
      </c>
      <c r="B2332" s="2" t="s">
        <v>3941</v>
      </c>
      <c r="C2332" s="2" t="s">
        <v>3530</v>
      </c>
      <c r="D2332" s="2" t="s">
        <v>815</v>
      </c>
      <c r="E2332" s="1" t="s">
        <v>3828</v>
      </c>
      <c r="F2332" s="2" t="s">
        <v>868</v>
      </c>
      <c r="H2332" s="2" t="s">
        <v>3887</v>
      </c>
      <c r="I2332" s="5">
        <v>75</v>
      </c>
      <c r="J2332" s="5">
        <v>35000</v>
      </c>
      <c r="K2332" s="5"/>
      <c r="L2332" s="5"/>
      <c r="M2332" s="2" t="s">
        <v>571</v>
      </c>
      <c r="N2332" s="5"/>
      <c r="O2332" s="5"/>
      <c r="P2332" s="5"/>
      <c r="R2332" s="5"/>
      <c r="S2332" s="5"/>
      <c r="T2332" s="7">
        <f>MEDIAN(3,4)</f>
        <v>3.5</v>
      </c>
      <c r="U2332" s="2" t="str">
        <f>IF(T2332&lt;=1, "1",IF(AND(T2332&gt;1,T2332&lt;4), "2-3", "+4"))</f>
        <v>2-3</v>
      </c>
      <c r="V2332" s="5"/>
      <c r="W2332" s="6" t="s">
        <v>2132</v>
      </c>
    </row>
    <row r="2333" spans="1:23" x14ac:dyDescent="0.15">
      <c r="A2333" s="2" t="s">
        <v>350</v>
      </c>
      <c r="B2333" s="2" t="s">
        <v>3941</v>
      </c>
      <c r="C2333" s="2" t="s">
        <v>3530</v>
      </c>
      <c r="D2333" s="2" t="s">
        <v>816</v>
      </c>
      <c r="E2333" s="1"/>
      <c r="F2333" s="2" t="s">
        <v>29</v>
      </c>
      <c r="H2333" s="2" t="s">
        <v>3887</v>
      </c>
      <c r="I2333" s="5"/>
      <c r="J2333" s="5"/>
      <c r="K2333" s="5"/>
      <c r="L2333" s="5"/>
      <c r="M2333" s="2" t="s">
        <v>571</v>
      </c>
      <c r="N2333" s="5"/>
      <c r="O2333" s="5"/>
      <c r="P2333" s="5"/>
      <c r="R2333" s="5"/>
      <c r="S2333" s="5"/>
      <c r="V2333" s="5"/>
      <c r="W2333" s="6" t="s">
        <v>838</v>
      </c>
    </row>
    <row r="2334" spans="1:23" x14ac:dyDescent="0.15">
      <c r="A2334" s="2" t="s">
        <v>350</v>
      </c>
      <c r="B2334" s="2" t="s">
        <v>3941</v>
      </c>
      <c r="C2334" s="2" t="s">
        <v>1046</v>
      </c>
      <c r="D2334" s="2" t="s">
        <v>456</v>
      </c>
      <c r="E2334" s="1"/>
      <c r="F2334" s="4" t="s">
        <v>352</v>
      </c>
      <c r="G2334" s="4">
        <v>31.1</v>
      </c>
      <c r="H2334" s="2" t="str">
        <f t="shared" si="79"/>
        <v>W</v>
      </c>
      <c r="I2334" s="33"/>
      <c r="J2334" s="33"/>
      <c r="K2334" s="33"/>
      <c r="L2334" s="33">
        <v>15</v>
      </c>
      <c r="M2334" s="2" t="s">
        <v>571</v>
      </c>
      <c r="N2334" s="5">
        <v>26.73</v>
      </c>
      <c r="O2334" s="5">
        <v>26.7</v>
      </c>
      <c r="P2334" s="5">
        <v>10.39</v>
      </c>
      <c r="Q2334" s="2" t="s">
        <v>18</v>
      </c>
      <c r="R2334" s="5">
        <f>P2334*L2334</f>
        <v>155.85000000000002</v>
      </c>
      <c r="S2334" s="5"/>
      <c r="V2334" s="5"/>
      <c r="W2334" s="10" t="s">
        <v>1783</v>
      </c>
    </row>
    <row r="2335" spans="1:23" x14ac:dyDescent="0.15">
      <c r="A2335" s="2" t="s">
        <v>350</v>
      </c>
      <c r="B2335" s="2" t="s">
        <v>3941</v>
      </c>
      <c r="C2335" s="2" t="s">
        <v>1046</v>
      </c>
      <c r="D2335" s="2" t="s">
        <v>456</v>
      </c>
      <c r="E2335" s="1"/>
      <c r="F2335" s="2" t="s">
        <v>4049</v>
      </c>
      <c r="G2335" s="2">
        <v>29.7</v>
      </c>
      <c r="H2335" s="2" t="str">
        <f t="shared" si="79"/>
        <v>W</v>
      </c>
      <c r="I2335" s="5">
        <v>49.57</v>
      </c>
      <c r="J2335" s="5">
        <v>11404</v>
      </c>
      <c r="K2335" s="5"/>
      <c r="L2335" s="5">
        <f>R2335/P2335</f>
        <v>32.33228001944579</v>
      </c>
      <c r="M2335" s="2" t="s">
        <v>571</v>
      </c>
      <c r="N2335" s="5">
        <v>25.167000000000002</v>
      </c>
      <c r="O2335" s="5">
        <v>25.167000000000002</v>
      </c>
      <c r="P2335" s="5">
        <v>8.2279999999999998</v>
      </c>
      <c r="Q2335" s="2" t="s">
        <v>376</v>
      </c>
      <c r="R2335" s="5">
        <v>266.02999999999997</v>
      </c>
      <c r="S2335" s="5">
        <v>2.3119999999999998</v>
      </c>
      <c r="U2335" s="41"/>
      <c r="V2335" s="5"/>
      <c r="W2335" s="6" t="s">
        <v>4048</v>
      </c>
    </row>
    <row r="2336" spans="1:23" x14ac:dyDescent="0.15">
      <c r="A2336" s="2" t="s">
        <v>350</v>
      </c>
      <c r="B2336" s="2" t="s">
        <v>3941</v>
      </c>
      <c r="C2336" s="2" t="s">
        <v>1046</v>
      </c>
      <c r="D2336" s="2" t="s">
        <v>456</v>
      </c>
      <c r="E2336" s="1"/>
      <c r="F2336" s="2" t="s">
        <v>69</v>
      </c>
      <c r="G2336" s="2">
        <v>28.86</v>
      </c>
      <c r="H2336" s="2" t="str">
        <f t="shared" si="79"/>
        <v>W</v>
      </c>
      <c r="I2336" s="5">
        <f>(EXP(LN(J2336/0.2496)/2.935))/0.783</f>
        <v>53.201944483230982</v>
      </c>
      <c r="J2336" s="5">
        <v>14159</v>
      </c>
      <c r="K2336" s="5"/>
      <c r="L2336" s="5">
        <v>20</v>
      </c>
      <c r="M2336" s="2" t="s">
        <v>571</v>
      </c>
      <c r="N2336" s="5">
        <v>25</v>
      </c>
      <c r="O2336" s="5"/>
      <c r="P2336" s="5">
        <v>12</v>
      </c>
      <c r="Q2336" s="2" t="s">
        <v>18</v>
      </c>
      <c r="R2336" s="5">
        <v>240</v>
      </c>
      <c r="S2336" s="5">
        <v>1.7</v>
      </c>
      <c r="V2336" s="5"/>
      <c r="W2336" s="6" t="s">
        <v>3450</v>
      </c>
    </row>
    <row r="2337" spans="1:23" x14ac:dyDescent="0.15">
      <c r="A2337" s="2" t="s">
        <v>350</v>
      </c>
      <c r="B2337" s="2" t="s">
        <v>3941</v>
      </c>
      <c r="C2337" s="2" t="s">
        <v>1046</v>
      </c>
      <c r="D2337" s="2" t="s">
        <v>456</v>
      </c>
      <c r="E2337" s="1"/>
      <c r="F2337" s="2" t="s">
        <v>908</v>
      </c>
      <c r="G2337" s="2">
        <v>31.13</v>
      </c>
      <c r="H2337" s="2" t="str">
        <f t="shared" si="79"/>
        <v>W</v>
      </c>
      <c r="I2337" s="5">
        <v>41</v>
      </c>
      <c r="J2337" s="5">
        <f xml:space="preserve"> 0.2496*(I2337*0.783)^2.935</f>
        <v>6591.0707294418398</v>
      </c>
      <c r="K2337" s="5"/>
      <c r="L2337" s="5">
        <v>18.5</v>
      </c>
      <c r="M2337" s="2" t="s">
        <v>571</v>
      </c>
      <c r="N2337" s="5">
        <v>30.35</v>
      </c>
      <c r="O2337" s="5">
        <v>29.05</v>
      </c>
      <c r="P2337" s="5">
        <v>15.16</v>
      </c>
      <c r="Q2337" s="2" t="s">
        <v>376</v>
      </c>
      <c r="R2337" s="5">
        <v>280.52</v>
      </c>
      <c r="S2337" s="5">
        <f>(R2337/J2337)*100</f>
        <v>4.2560611396102495</v>
      </c>
      <c r="T2337" s="2" t="s">
        <v>524</v>
      </c>
      <c r="U2337" s="40" t="s">
        <v>395</v>
      </c>
      <c r="V2337" s="5"/>
      <c r="W2337" s="6" t="s">
        <v>2250</v>
      </c>
    </row>
    <row r="2338" spans="1:23" x14ac:dyDescent="0.15">
      <c r="A2338" s="2" t="s">
        <v>350</v>
      </c>
      <c r="B2338" s="2" t="s">
        <v>3941</v>
      </c>
      <c r="C2338" s="2" t="s">
        <v>1046</v>
      </c>
      <c r="D2338" s="2" t="s">
        <v>456</v>
      </c>
      <c r="E2338" s="1"/>
      <c r="F2338" s="2" t="s">
        <v>69</v>
      </c>
      <c r="G2338" s="2">
        <v>26.5</v>
      </c>
      <c r="H2338" s="2" t="str">
        <f t="shared" si="79"/>
        <v>W</v>
      </c>
      <c r="I2338" s="5">
        <v>26.67</v>
      </c>
      <c r="J2338" s="5">
        <f xml:space="preserve"> 0.2496*20.88261^2.935</f>
        <v>1865.5758180192374</v>
      </c>
      <c r="K2338" s="5"/>
      <c r="L2338" s="5">
        <v>17</v>
      </c>
      <c r="M2338" s="2" t="s">
        <v>571</v>
      </c>
      <c r="N2338" s="5"/>
      <c r="O2338" s="5"/>
      <c r="P2338" s="5"/>
      <c r="R2338" s="5"/>
      <c r="S2338" s="5"/>
      <c r="V2338" s="5"/>
      <c r="W2338" s="6" t="s">
        <v>3451</v>
      </c>
    </row>
    <row r="2339" spans="1:23" x14ac:dyDescent="0.15">
      <c r="A2339" s="2" t="s">
        <v>350</v>
      </c>
      <c r="B2339" s="2" t="s">
        <v>3941</v>
      </c>
      <c r="C2339" s="2" t="s">
        <v>1046</v>
      </c>
      <c r="D2339" s="2" t="s">
        <v>456</v>
      </c>
      <c r="E2339" s="1"/>
      <c r="F2339" s="2" t="s">
        <v>69</v>
      </c>
      <c r="G2339" s="2">
        <v>27.72</v>
      </c>
      <c r="H2339" s="2" t="str">
        <f t="shared" si="79"/>
        <v>W</v>
      </c>
      <c r="I2339" s="5"/>
      <c r="J2339" s="5"/>
      <c r="K2339" s="5"/>
      <c r="L2339" s="5">
        <v>32</v>
      </c>
      <c r="M2339" s="2" t="s">
        <v>571</v>
      </c>
      <c r="N2339" s="5">
        <v>29.4</v>
      </c>
      <c r="O2339" s="5"/>
      <c r="P2339" s="5">
        <v>13.77</v>
      </c>
      <c r="Q2339" s="2" t="s">
        <v>376</v>
      </c>
      <c r="R2339" s="5">
        <v>440.67</v>
      </c>
      <c r="S2339" s="5"/>
      <c r="V2339" s="5"/>
      <c r="W2339" s="6" t="s">
        <v>2574</v>
      </c>
    </row>
    <row r="2340" spans="1:23" x14ac:dyDescent="0.15">
      <c r="A2340" s="2" t="s">
        <v>350</v>
      </c>
      <c r="B2340" s="2" t="s">
        <v>3941</v>
      </c>
      <c r="C2340" s="2" t="s">
        <v>1046</v>
      </c>
      <c r="D2340" s="2" t="s">
        <v>456</v>
      </c>
      <c r="E2340" s="1"/>
      <c r="F2340" s="2" t="s">
        <v>265</v>
      </c>
      <c r="G2340" s="2">
        <v>29</v>
      </c>
      <c r="H2340" s="2" t="str">
        <f t="shared" si="79"/>
        <v>W</v>
      </c>
      <c r="I2340" s="5"/>
      <c r="J2340" s="5"/>
      <c r="K2340" s="5"/>
      <c r="L2340" s="5">
        <v>17.8</v>
      </c>
      <c r="M2340" s="2" t="s">
        <v>571</v>
      </c>
      <c r="N2340" s="5">
        <v>28.9</v>
      </c>
      <c r="O2340" s="5">
        <v>28.1</v>
      </c>
      <c r="P2340" s="5">
        <v>13.1</v>
      </c>
      <c r="Q2340" s="2" t="s">
        <v>376</v>
      </c>
      <c r="R2340" s="5">
        <v>233</v>
      </c>
      <c r="S2340" s="5"/>
      <c r="V2340" s="5"/>
      <c r="W2340" s="6" t="s">
        <v>1904</v>
      </c>
    </row>
    <row r="2341" spans="1:23" x14ac:dyDescent="0.15">
      <c r="A2341" s="2" t="s">
        <v>350</v>
      </c>
      <c r="B2341" s="2" t="s">
        <v>3941</v>
      </c>
      <c r="C2341" s="2" t="s">
        <v>1046</v>
      </c>
      <c r="D2341" s="2" t="s">
        <v>456</v>
      </c>
      <c r="E2341" s="1"/>
      <c r="F2341" s="2" t="s">
        <v>329</v>
      </c>
      <c r="G2341" s="2">
        <v>29</v>
      </c>
      <c r="H2341" s="2" t="str">
        <f t="shared" si="79"/>
        <v>W</v>
      </c>
      <c r="I2341" s="5">
        <v>33.93</v>
      </c>
      <c r="J2341" s="5">
        <f xml:space="preserve"> 0.2496*(I2341*0.783)^2.935</f>
        <v>3781.8036851885986</v>
      </c>
      <c r="K2341" s="5"/>
      <c r="L2341" s="5">
        <v>16.14</v>
      </c>
      <c r="M2341" s="2" t="s">
        <v>571</v>
      </c>
      <c r="N2341" s="5">
        <v>27.87</v>
      </c>
      <c r="O2341" s="5">
        <f>(P2341+28.867)/1.5174</f>
        <v>27.87</v>
      </c>
      <c r="P2341" s="8">
        <f xml:space="preserve"> 1.5174*N2341- 28.867</f>
        <v>13.422938000000006</v>
      </c>
      <c r="Q2341" s="2" t="s">
        <v>376</v>
      </c>
      <c r="R2341" s="5">
        <f>P2341*L2341</f>
        <v>216.64621932000009</v>
      </c>
      <c r="S2341" s="5">
        <f>(R2341/J2341)*100</f>
        <v>5.7286479509365638</v>
      </c>
      <c r="V2341" s="5"/>
      <c r="W2341" s="6" t="s">
        <v>1902</v>
      </c>
    </row>
    <row r="2342" spans="1:23" x14ac:dyDescent="0.15">
      <c r="A2342" s="2" t="s">
        <v>350</v>
      </c>
      <c r="B2342" s="2" t="s">
        <v>3941</v>
      </c>
      <c r="C2342" s="2" t="s">
        <v>1046</v>
      </c>
      <c r="D2342" s="2" t="s">
        <v>456</v>
      </c>
      <c r="E2342" s="1"/>
      <c r="F2342" s="4" t="s">
        <v>351</v>
      </c>
      <c r="G2342" s="4">
        <v>26.6</v>
      </c>
      <c r="H2342" s="2" t="str">
        <f t="shared" si="79"/>
        <v>W</v>
      </c>
      <c r="I2342" s="5">
        <v>40.5</v>
      </c>
      <c r="J2342" s="5">
        <v>6650</v>
      </c>
      <c r="K2342" s="33"/>
      <c r="L2342" s="33">
        <v>20.6</v>
      </c>
      <c r="M2342" s="2" t="s">
        <v>571</v>
      </c>
      <c r="N2342" s="5">
        <v>28.2</v>
      </c>
      <c r="O2342" s="5">
        <v>27.5</v>
      </c>
      <c r="P2342" s="5">
        <v>12.3</v>
      </c>
      <c r="Q2342" s="2" t="s">
        <v>18</v>
      </c>
      <c r="R2342" s="5">
        <v>290.3</v>
      </c>
      <c r="S2342" s="5">
        <v>3.9</v>
      </c>
      <c r="T2342" s="5">
        <f>MEDIAN(5,6)</f>
        <v>5.5</v>
      </c>
      <c r="U2342" s="2" t="str">
        <f>IF(T2342&lt;=1, "1",IF(AND(T2342&gt;1,T2342&lt;4), "2-3", "+4"))</f>
        <v>+4</v>
      </c>
      <c r="V2342" s="33">
        <f>T2342*S2342</f>
        <v>21.45</v>
      </c>
      <c r="W2342" s="10" t="s">
        <v>1903</v>
      </c>
    </row>
    <row r="2343" spans="1:23" x14ac:dyDescent="0.15">
      <c r="A2343" s="2" t="s">
        <v>350</v>
      </c>
      <c r="B2343" s="2" t="s">
        <v>3941</v>
      </c>
      <c r="C2343" s="2" t="s">
        <v>1046</v>
      </c>
      <c r="D2343" s="2" t="s">
        <v>456</v>
      </c>
      <c r="E2343" s="1"/>
      <c r="F2343" s="2" t="s">
        <v>69</v>
      </c>
      <c r="G2343" s="2">
        <v>29.52</v>
      </c>
      <c r="H2343" s="2" t="str">
        <f t="shared" si="79"/>
        <v>W</v>
      </c>
      <c r="I2343" s="5">
        <v>45</v>
      </c>
      <c r="J2343" s="5">
        <f xml:space="preserve"> 0.2496*(I2343*0.783)^2.935</f>
        <v>8661.9182495981604</v>
      </c>
      <c r="K2343" s="5"/>
      <c r="L2343" s="5">
        <v>23</v>
      </c>
      <c r="M2343" s="2" t="s">
        <v>571</v>
      </c>
      <c r="N2343" s="5"/>
      <c r="O2343" s="5"/>
      <c r="P2343" s="5"/>
      <c r="R2343" s="5"/>
      <c r="S2343" s="5"/>
      <c r="T2343" s="2" t="s">
        <v>634</v>
      </c>
      <c r="U2343" s="41" t="s">
        <v>4047</v>
      </c>
      <c r="V2343" s="5"/>
      <c r="W2343" s="6" t="s">
        <v>3452</v>
      </c>
    </row>
    <row r="2344" spans="1:23" x14ac:dyDescent="0.15">
      <c r="A2344" s="2" t="s">
        <v>350</v>
      </c>
      <c r="B2344" s="2" t="s">
        <v>3941</v>
      </c>
      <c r="C2344" s="2" t="s">
        <v>1046</v>
      </c>
      <c r="D2344" s="2" t="s">
        <v>817</v>
      </c>
      <c r="E2344" s="1" t="s">
        <v>948</v>
      </c>
      <c r="F2344" s="2" t="s">
        <v>353</v>
      </c>
      <c r="G2344" s="2">
        <v>41</v>
      </c>
      <c r="H2344" s="2" t="str">
        <f t="shared" si="79"/>
        <v>W</v>
      </c>
      <c r="I2344" s="5"/>
      <c r="J2344" s="5"/>
      <c r="K2344" s="5"/>
      <c r="L2344" s="5">
        <v>13.5</v>
      </c>
      <c r="M2344" s="2" t="s">
        <v>571</v>
      </c>
      <c r="N2344" s="5"/>
      <c r="O2344" s="5">
        <f xml:space="preserve"> (P2344+12.699)/0.8919</f>
        <v>21.290503419665882</v>
      </c>
      <c r="P2344" s="5">
        <v>6.29</v>
      </c>
      <c r="Q2344" s="2" t="s">
        <v>18</v>
      </c>
      <c r="R2344" s="5">
        <v>84.72</v>
      </c>
      <c r="S2344" s="5"/>
      <c r="V2344" s="5"/>
      <c r="W2344" s="6" t="s">
        <v>2136</v>
      </c>
    </row>
    <row r="2345" spans="1:23" x14ac:dyDescent="0.15">
      <c r="A2345" s="2" t="s">
        <v>350</v>
      </c>
      <c r="B2345" s="2" t="s">
        <v>3941</v>
      </c>
      <c r="C2345" s="2" t="s">
        <v>1046</v>
      </c>
      <c r="D2345" s="2" t="s">
        <v>817</v>
      </c>
      <c r="E2345" s="1" t="s">
        <v>948</v>
      </c>
      <c r="F2345" s="2" t="s">
        <v>3128</v>
      </c>
      <c r="G2345" s="2">
        <v>31</v>
      </c>
      <c r="H2345" s="2" t="str">
        <f t="shared" si="79"/>
        <v>W</v>
      </c>
      <c r="I2345" s="5"/>
      <c r="J2345" s="5"/>
      <c r="K2345" s="5"/>
      <c r="L2345" s="5">
        <v>5.7</v>
      </c>
      <c r="M2345" s="2" t="s">
        <v>571</v>
      </c>
      <c r="N2345" s="5"/>
      <c r="O2345" s="5">
        <f xml:space="preserve"> (P2345+12.699)/0.8919</f>
        <v>24.586837089359797</v>
      </c>
      <c r="P2345" s="5">
        <v>9.23</v>
      </c>
      <c r="Q2345" s="2" t="s">
        <v>18</v>
      </c>
      <c r="R2345" s="5">
        <v>52.61</v>
      </c>
      <c r="S2345" s="5"/>
      <c r="V2345" s="5"/>
      <c r="W2345" s="6" t="s">
        <v>3140</v>
      </c>
    </row>
    <row r="2346" spans="1:23" x14ac:dyDescent="0.15">
      <c r="A2346" s="2" t="s">
        <v>350</v>
      </c>
      <c r="B2346" s="2" t="s">
        <v>3941</v>
      </c>
      <c r="C2346" s="2" t="s">
        <v>1046</v>
      </c>
      <c r="D2346" s="2" t="s">
        <v>817</v>
      </c>
      <c r="E2346" s="1" t="s">
        <v>948</v>
      </c>
      <c r="F2346" s="2" t="s">
        <v>3127</v>
      </c>
      <c r="G2346" s="2">
        <v>32.5</v>
      </c>
      <c r="H2346" s="2" t="str">
        <f t="shared" si="79"/>
        <v>W</v>
      </c>
      <c r="I2346" s="5"/>
      <c r="J2346" s="5"/>
      <c r="K2346" s="5"/>
      <c r="L2346" s="5">
        <v>12.5</v>
      </c>
      <c r="M2346" s="2" t="s">
        <v>571</v>
      </c>
      <c r="N2346" s="5"/>
      <c r="O2346" s="5">
        <f xml:space="preserve"> (P2346+12.699)/0.8919</f>
        <v>21.738984191052808</v>
      </c>
      <c r="P2346" s="5">
        <v>6.69</v>
      </c>
      <c r="Q2346" s="2" t="s">
        <v>18</v>
      </c>
      <c r="R2346" s="5">
        <v>83.63</v>
      </c>
      <c r="S2346" s="5"/>
      <c r="V2346" s="5"/>
      <c r="W2346" s="6" t="s">
        <v>3140</v>
      </c>
    </row>
    <row r="2347" spans="1:23" x14ac:dyDescent="0.15">
      <c r="A2347" s="2" t="s">
        <v>350</v>
      </c>
      <c r="B2347" s="2" t="s">
        <v>3941</v>
      </c>
      <c r="C2347" s="2" t="s">
        <v>1046</v>
      </c>
      <c r="D2347" s="2" t="s">
        <v>817</v>
      </c>
      <c r="E2347" s="1" t="s">
        <v>948</v>
      </c>
      <c r="F2347" s="2" t="s">
        <v>2293</v>
      </c>
      <c r="G2347" s="2">
        <v>30.51</v>
      </c>
      <c r="H2347" s="2" t="str">
        <f t="shared" si="79"/>
        <v>W</v>
      </c>
      <c r="I2347" s="5"/>
      <c r="J2347" s="5"/>
      <c r="K2347" s="5"/>
      <c r="L2347" s="5">
        <v>6.7</v>
      </c>
      <c r="M2347" s="2" t="s">
        <v>571</v>
      </c>
      <c r="N2347" s="5"/>
      <c r="O2347" s="5"/>
      <c r="P2347" s="5"/>
      <c r="R2347" s="5"/>
      <c r="S2347" s="5"/>
      <c r="V2347" s="5"/>
      <c r="W2347" s="6" t="s">
        <v>2294</v>
      </c>
    </row>
    <row r="2348" spans="1:23" x14ac:dyDescent="0.15">
      <c r="A2348" s="2" t="s">
        <v>350</v>
      </c>
      <c r="B2348" s="2" t="s">
        <v>3941</v>
      </c>
      <c r="C2348" s="2" t="s">
        <v>1046</v>
      </c>
      <c r="D2348" s="2" t="s">
        <v>817</v>
      </c>
      <c r="E2348" s="1" t="s">
        <v>948</v>
      </c>
      <c r="F2348" s="2" t="s">
        <v>187</v>
      </c>
      <c r="G2348" s="2">
        <v>39</v>
      </c>
      <c r="H2348" s="2" t="str">
        <f t="shared" si="79"/>
        <v>W</v>
      </c>
      <c r="I2348" s="5">
        <v>23.1</v>
      </c>
      <c r="J2348" s="5">
        <v>1091.7</v>
      </c>
      <c r="K2348" s="5"/>
      <c r="L2348" s="5">
        <v>16.329999999999998</v>
      </c>
      <c r="M2348" s="2" t="s">
        <v>571</v>
      </c>
      <c r="N2348" s="5">
        <v>22.9</v>
      </c>
      <c r="O2348" s="5">
        <v>22.9</v>
      </c>
      <c r="P2348" s="5">
        <v>7.16</v>
      </c>
      <c r="Q2348" s="2" t="s">
        <v>18</v>
      </c>
      <c r="R2348" s="5">
        <v>116.93</v>
      </c>
      <c r="S2348" s="5">
        <v>10.71</v>
      </c>
      <c r="T2348" s="2" t="s">
        <v>2767</v>
      </c>
      <c r="U2348" s="40" t="s">
        <v>395</v>
      </c>
      <c r="V2348" s="5"/>
      <c r="W2348" s="6" t="s">
        <v>3344</v>
      </c>
    </row>
    <row r="2349" spans="1:23" x14ac:dyDescent="0.15">
      <c r="A2349" s="2" t="s">
        <v>350</v>
      </c>
      <c r="B2349" s="2" t="s">
        <v>3941</v>
      </c>
      <c r="C2349" s="2" t="s">
        <v>1046</v>
      </c>
      <c r="D2349" s="2" t="s">
        <v>817</v>
      </c>
      <c r="E2349" s="1" t="s">
        <v>948</v>
      </c>
      <c r="F2349" s="2" t="s">
        <v>231</v>
      </c>
      <c r="G2349" s="2">
        <v>42.5</v>
      </c>
      <c r="H2349" s="2" t="str">
        <f t="shared" si="79"/>
        <v>W</v>
      </c>
      <c r="I2349" s="5"/>
      <c r="J2349" s="5"/>
      <c r="K2349" s="5"/>
      <c r="L2349" s="5">
        <v>18.7</v>
      </c>
      <c r="M2349" s="2" t="s">
        <v>571</v>
      </c>
      <c r="N2349" s="5"/>
      <c r="O2349" s="5"/>
      <c r="P2349" s="5"/>
      <c r="R2349" s="5"/>
      <c r="S2349" s="5"/>
      <c r="V2349" s="5"/>
      <c r="W2349" s="6" t="s">
        <v>2573</v>
      </c>
    </row>
    <row r="2350" spans="1:23" x14ac:dyDescent="0.15">
      <c r="A2350" s="2" t="s">
        <v>350</v>
      </c>
      <c r="B2350" s="2" t="s">
        <v>3941</v>
      </c>
      <c r="C2350" s="2" t="s">
        <v>1046</v>
      </c>
      <c r="D2350" s="2" t="s">
        <v>817</v>
      </c>
      <c r="E2350" s="1" t="s">
        <v>948</v>
      </c>
      <c r="F2350" s="2" t="s">
        <v>188</v>
      </c>
      <c r="G2350" s="2">
        <v>42.86</v>
      </c>
      <c r="H2350" s="2" t="str">
        <f t="shared" si="79"/>
        <v>W</v>
      </c>
      <c r="I2350" s="5"/>
      <c r="J2350" s="5"/>
      <c r="K2350" s="5"/>
      <c r="L2350" s="5">
        <v>17.5</v>
      </c>
      <c r="M2350" s="2" t="s">
        <v>571</v>
      </c>
      <c r="N2350" s="5">
        <v>25.7</v>
      </c>
      <c r="O2350" s="5">
        <v>25.7</v>
      </c>
      <c r="P2350" s="5">
        <f xml:space="preserve"> 0.317*N2350 + 0.665*O2350 - 15.505</f>
        <v>9.7324000000000002</v>
      </c>
      <c r="Q2350" s="2" t="s">
        <v>376</v>
      </c>
      <c r="R2350" s="5">
        <v>170.32</v>
      </c>
      <c r="S2350" s="5"/>
      <c r="T2350" s="5">
        <v>2</v>
      </c>
      <c r="U2350" s="2" t="str">
        <f>IF(T2350&lt;=1, "1",IF(AND(T2350&gt;1,T2350&lt;4), "2-3", "+4"))</f>
        <v>2-3</v>
      </c>
      <c r="V2350" s="5"/>
      <c r="W2350" s="6" t="s">
        <v>3303</v>
      </c>
    </row>
    <row r="2351" spans="1:23" x14ac:dyDescent="0.15">
      <c r="A2351" s="2" t="s">
        <v>350</v>
      </c>
      <c r="B2351" s="2" t="s">
        <v>3941</v>
      </c>
      <c r="C2351" s="2" t="s">
        <v>1046</v>
      </c>
      <c r="D2351" s="2" t="s">
        <v>817</v>
      </c>
      <c r="E2351" s="1" t="s">
        <v>948</v>
      </c>
      <c r="F2351" s="2" t="s">
        <v>353</v>
      </c>
      <c r="G2351" s="2">
        <v>41</v>
      </c>
      <c r="H2351" s="2" t="str">
        <f t="shared" si="79"/>
        <v>W</v>
      </c>
      <c r="I2351" s="5"/>
      <c r="J2351" s="5"/>
      <c r="K2351" s="5"/>
      <c r="L2351" s="5">
        <f>AVERAGE(14,13.1)</f>
        <v>13.55</v>
      </c>
      <c r="M2351" s="2" t="s">
        <v>571</v>
      </c>
      <c r="N2351" s="5"/>
      <c r="O2351" s="5">
        <f xml:space="preserve"> (P2351+12.699)/0.8919</f>
        <v>21.503531786074674</v>
      </c>
      <c r="P2351" s="5">
        <f>AVERAGE(6.41,6.55)</f>
        <v>6.48</v>
      </c>
      <c r="Q2351" s="2" t="s">
        <v>18</v>
      </c>
      <c r="R2351" s="5">
        <f>AVERAGE(89.68,86.83)</f>
        <v>88.254999999999995</v>
      </c>
      <c r="S2351" s="5"/>
      <c r="T2351" s="5"/>
      <c r="V2351" s="5"/>
      <c r="W2351" s="6" t="s">
        <v>2137</v>
      </c>
    </row>
    <row r="2352" spans="1:23" x14ac:dyDescent="0.15">
      <c r="A2352" s="2" t="s">
        <v>350</v>
      </c>
      <c r="B2352" s="2" t="s">
        <v>3941</v>
      </c>
      <c r="C2352" s="2" t="s">
        <v>1046</v>
      </c>
      <c r="D2352" s="2" t="s">
        <v>817</v>
      </c>
      <c r="E2352" s="1" t="s">
        <v>948</v>
      </c>
      <c r="F2352" s="2" t="s">
        <v>353</v>
      </c>
      <c r="G2352" s="2">
        <v>41</v>
      </c>
      <c r="H2352" s="2" t="str">
        <f t="shared" si="79"/>
        <v>W</v>
      </c>
      <c r="I2352" s="5"/>
      <c r="J2352" s="5"/>
      <c r="K2352" s="5"/>
      <c r="L2352" s="5">
        <f>AVERAGE(14.2,13.1)</f>
        <v>13.649999999999999</v>
      </c>
      <c r="M2352" s="2" t="s">
        <v>571</v>
      </c>
      <c r="N2352" s="5"/>
      <c r="O2352" s="5">
        <f xml:space="preserve"> (P2352+12.699)/0.8919</f>
        <v>21.525955824644015</v>
      </c>
      <c r="P2352" s="5">
        <f>AVERAGE(6.4,6.6)</f>
        <v>6.5</v>
      </c>
      <c r="Q2352" s="2" t="s">
        <v>18</v>
      </c>
      <c r="R2352" s="5">
        <f>AVERAGE(89.7,85.6)</f>
        <v>87.65</v>
      </c>
      <c r="S2352" s="5"/>
      <c r="T2352" s="5"/>
      <c r="V2352" s="5"/>
      <c r="W2352" s="6" t="s">
        <v>1905</v>
      </c>
    </row>
    <row r="2353" spans="1:23" x14ac:dyDescent="0.15">
      <c r="A2353" s="2" t="s">
        <v>350</v>
      </c>
      <c r="B2353" s="2" t="s">
        <v>3941</v>
      </c>
      <c r="C2353" s="2" t="s">
        <v>1046</v>
      </c>
      <c r="D2353" s="2" t="s">
        <v>817</v>
      </c>
      <c r="E2353" s="1" t="s">
        <v>948</v>
      </c>
      <c r="F2353" s="2" t="s">
        <v>354</v>
      </c>
      <c r="G2353" s="2">
        <v>35.1</v>
      </c>
      <c r="H2353" s="2" t="str">
        <f t="shared" si="79"/>
        <v>W</v>
      </c>
      <c r="I2353" s="5"/>
      <c r="J2353" s="5"/>
      <c r="K2353" s="5"/>
      <c r="L2353" s="5">
        <f>AVERAGE(11.8,14.4)</f>
        <v>13.100000000000001</v>
      </c>
      <c r="M2353" s="2" t="s">
        <v>571</v>
      </c>
      <c r="N2353" s="5"/>
      <c r="O2353" s="5"/>
      <c r="P2353" s="5"/>
      <c r="R2353" s="5"/>
      <c r="S2353" s="5"/>
      <c r="T2353" s="5"/>
      <c r="V2353" s="5"/>
      <c r="W2353" s="6" t="s">
        <v>2133</v>
      </c>
    </row>
    <row r="2354" spans="1:23" x14ac:dyDescent="0.15">
      <c r="A2354" s="2" t="s">
        <v>350</v>
      </c>
      <c r="B2354" s="2" t="s">
        <v>3941</v>
      </c>
      <c r="C2354" s="2" t="s">
        <v>1046</v>
      </c>
      <c r="D2354" s="2" t="s">
        <v>817</v>
      </c>
      <c r="E2354" s="1" t="s">
        <v>948</v>
      </c>
      <c r="F2354" s="2" t="s">
        <v>2292</v>
      </c>
      <c r="G2354" s="2">
        <v>37</v>
      </c>
      <c r="H2354" s="2" t="str">
        <f t="shared" si="79"/>
        <v>W</v>
      </c>
      <c r="I2354" s="5">
        <v>29.9</v>
      </c>
      <c r="J2354" s="5">
        <v>2360</v>
      </c>
      <c r="K2354" s="5"/>
      <c r="L2354" s="5">
        <v>15.5</v>
      </c>
      <c r="M2354" s="2" t="s">
        <v>571</v>
      </c>
      <c r="N2354" s="5">
        <v>25.12</v>
      </c>
      <c r="O2354" s="5">
        <v>25.12</v>
      </c>
      <c r="P2354" s="5">
        <v>8.0500000000000007</v>
      </c>
      <c r="Q2354" s="2" t="s">
        <v>376</v>
      </c>
      <c r="R2354" s="5">
        <v>124.78</v>
      </c>
      <c r="S2354" s="5">
        <v>5.29</v>
      </c>
      <c r="T2354" s="5">
        <v>2</v>
      </c>
      <c r="U2354" s="2" t="str">
        <f>IF(T2354&lt;=1, "1",IF(AND(T2354&gt;1,T2354&lt;4), "2-3", "+4"))</f>
        <v>2-3</v>
      </c>
      <c r="V2354" s="5">
        <f>S2354*T2354</f>
        <v>10.58</v>
      </c>
      <c r="W2354" s="6" t="s">
        <v>2572</v>
      </c>
    </row>
    <row r="2355" spans="1:23" x14ac:dyDescent="0.15">
      <c r="A2355" s="2" t="s">
        <v>350</v>
      </c>
      <c r="B2355" s="2" t="s">
        <v>3941</v>
      </c>
      <c r="C2355" s="2" t="s">
        <v>1046</v>
      </c>
      <c r="D2355" s="2" t="s">
        <v>817</v>
      </c>
      <c r="E2355" s="1" t="s">
        <v>948</v>
      </c>
      <c r="F2355" s="2" t="s">
        <v>353</v>
      </c>
      <c r="G2355" s="2">
        <v>41</v>
      </c>
      <c r="H2355" s="2" t="str">
        <f t="shared" si="79"/>
        <v>W</v>
      </c>
      <c r="I2355" s="5"/>
      <c r="J2355" s="5"/>
      <c r="K2355" s="5"/>
      <c r="L2355" s="5">
        <v>18.600000000000001</v>
      </c>
      <c r="M2355" s="2" t="s">
        <v>571</v>
      </c>
      <c r="N2355" s="5"/>
      <c r="O2355" s="5">
        <f xml:space="preserve"> (P2355+12.699)/0.8919</f>
        <v>22.064132750308332</v>
      </c>
      <c r="P2355" s="5">
        <v>6.98</v>
      </c>
      <c r="Q2355" s="2" t="s">
        <v>18</v>
      </c>
      <c r="R2355" s="5">
        <f>P2355*L2355</f>
        <v>129.82800000000003</v>
      </c>
      <c r="S2355" s="5"/>
      <c r="V2355" s="5"/>
      <c r="W2355" s="6" t="s">
        <v>2134</v>
      </c>
    </row>
    <row r="2356" spans="1:23" x14ac:dyDescent="0.15">
      <c r="A2356" s="2" t="s">
        <v>350</v>
      </c>
      <c r="B2356" s="2" t="s">
        <v>3941</v>
      </c>
      <c r="C2356" s="2" t="s">
        <v>1046</v>
      </c>
      <c r="D2356" s="2" t="s">
        <v>817</v>
      </c>
      <c r="E2356" s="1" t="s">
        <v>948</v>
      </c>
      <c r="F2356" s="2" t="s">
        <v>354</v>
      </c>
      <c r="G2356" s="2">
        <v>35.1</v>
      </c>
      <c r="H2356" s="2" t="str">
        <f t="shared" si="79"/>
        <v>W</v>
      </c>
      <c r="I2356" s="5"/>
      <c r="J2356" s="5"/>
      <c r="K2356" s="5"/>
      <c r="L2356" s="5"/>
      <c r="M2356" s="2" t="s">
        <v>571</v>
      </c>
      <c r="N2356" s="5">
        <v>24.2</v>
      </c>
      <c r="O2356" s="5">
        <f>(P2356-(0.665*N2356)+15.505)/0.317</f>
        <v>21.299684542586753</v>
      </c>
      <c r="P2356" s="5">
        <v>7.34</v>
      </c>
      <c r="Q2356" s="2" t="s">
        <v>18</v>
      </c>
      <c r="R2356" s="5"/>
      <c r="S2356" s="5"/>
      <c r="V2356" s="5"/>
      <c r="W2356" s="6" t="s">
        <v>2135</v>
      </c>
    </row>
    <row r="2357" spans="1:23" x14ac:dyDescent="0.15">
      <c r="A2357" s="2" t="s">
        <v>350</v>
      </c>
      <c r="B2357" s="2" t="s">
        <v>3941</v>
      </c>
      <c r="C2357" s="2" t="s">
        <v>1046</v>
      </c>
      <c r="D2357" s="2" t="s">
        <v>817</v>
      </c>
      <c r="E2357" s="1" t="s">
        <v>948</v>
      </c>
      <c r="F2357" s="2" t="s">
        <v>187</v>
      </c>
      <c r="G2357" s="2">
        <v>39</v>
      </c>
      <c r="H2357" s="2" t="str">
        <f t="shared" si="79"/>
        <v>W</v>
      </c>
      <c r="I2357" s="5">
        <v>21.24</v>
      </c>
      <c r="J2357" s="5">
        <f xml:space="preserve"> 0.00015996*(I2357*10)^2.8994</f>
        <v>894.05284342869982</v>
      </c>
      <c r="K2357" s="5">
        <v>9</v>
      </c>
      <c r="L2357" s="5">
        <v>10.4</v>
      </c>
      <c r="M2357" s="2" t="s">
        <v>571</v>
      </c>
      <c r="N2357" s="5"/>
      <c r="O2357" s="5"/>
      <c r="P2357" s="5"/>
      <c r="R2357" s="5"/>
      <c r="S2357" s="5"/>
      <c r="T2357" s="2" t="s">
        <v>2767</v>
      </c>
      <c r="U2357" s="40" t="s">
        <v>395</v>
      </c>
      <c r="V2357" s="5"/>
      <c r="W2357" s="6" t="s">
        <v>3347</v>
      </c>
    </row>
    <row r="2358" spans="1:23" x14ac:dyDescent="0.15">
      <c r="A2358" s="2" t="s">
        <v>350</v>
      </c>
      <c r="B2358" s="2" t="s">
        <v>3941</v>
      </c>
      <c r="C2358" s="2" t="s">
        <v>1046</v>
      </c>
      <c r="D2358" s="2" t="s">
        <v>817</v>
      </c>
      <c r="E2358" s="1" t="s">
        <v>948</v>
      </c>
      <c r="F2358" s="2" t="s">
        <v>188</v>
      </c>
      <c r="H2358" s="2" t="s">
        <v>3887</v>
      </c>
      <c r="I2358" s="5">
        <v>23.33</v>
      </c>
      <c r="J2358" s="5">
        <v>700</v>
      </c>
      <c r="K2358" s="5"/>
      <c r="L2358" s="5">
        <v>13</v>
      </c>
      <c r="M2358" s="2" t="s">
        <v>571</v>
      </c>
      <c r="N2358" s="5">
        <v>23</v>
      </c>
      <c r="O2358" s="5">
        <v>23</v>
      </c>
      <c r="P2358" s="5">
        <f xml:space="preserve"> 0.317*N2358 + 0.665*O2358 - 15.505</f>
        <v>7.0810000000000013</v>
      </c>
      <c r="Q2358" s="2" t="s">
        <v>376</v>
      </c>
      <c r="R2358" s="5">
        <v>84.58</v>
      </c>
      <c r="S2358" s="5">
        <v>12.08</v>
      </c>
      <c r="T2358" s="7">
        <f>MEDIAN(1,2)</f>
        <v>1.5</v>
      </c>
      <c r="U2358" s="2" t="str">
        <f>IF(T2358&lt;=1, "1",IF(AND(T2358&gt;1,T2358&lt;4), "2-3", "+4"))</f>
        <v>2-3</v>
      </c>
      <c r="V2358" s="33">
        <f>T2358*S2358</f>
        <v>18.12</v>
      </c>
      <c r="W2358" s="6" t="s">
        <v>2782</v>
      </c>
    </row>
    <row r="2359" spans="1:23" x14ac:dyDescent="0.15">
      <c r="A2359" s="2" t="s">
        <v>350</v>
      </c>
      <c r="B2359" s="2" t="s">
        <v>3941</v>
      </c>
      <c r="C2359" s="2" t="s">
        <v>1046</v>
      </c>
      <c r="D2359" s="2" t="s">
        <v>817</v>
      </c>
      <c r="E2359" s="1" t="s">
        <v>948</v>
      </c>
      <c r="F2359" s="2" t="s">
        <v>904</v>
      </c>
      <c r="H2359" s="2" t="s">
        <v>3887</v>
      </c>
      <c r="I2359" s="5"/>
      <c r="J2359" s="5"/>
      <c r="K2359" s="7">
        <f>MEDIAN(6,7)</f>
        <v>6.5</v>
      </c>
      <c r="L2359" s="5"/>
      <c r="M2359" s="2" t="s">
        <v>571</v>
      </c>
      <c r="N2359" s="5"/>
      <c r="O2359" s="5"/>
      <c r="P2359" s="5"/>
      <c r="R2359" s="5"/>
      <c r="S2359" s="5"/>
      <c r="V2359" s="5"/>
      <c r="W2359" s="6" t="s">
        <v>3252</v>
      </c>
    </row>
    <row r="2360" spans="1:23" x14ac:dyDescent="0.15">
      <c r="A2360" s="2" t="s">
        <v>350</v>
      </c>
      <c r="B2360" s="2" t="s">
        <v>3941</v>
      </c>
      <c r="C2360" s="2" t="s">
        <v>1046</v>
      </c>
      <c r="D2360" s="2" t="s">
        <v>477</v>
      </c>
      <c r="E2360" s="1" t="s">
        <v>44</v>
      </c>
      <c r="F2360" s="2" t="s">
        <v>330</v>
      </c>
      <c r="G2360" s="2">
        <v>32.6</v>
      </c>
      <c r="H2360" s="2" t="str">
        <f t="shared" ref="H2360:H2392" si="80">IF(G2360="captive","C","W")</f>
        <v>W</v>
      </c>
      <c r="I2360" s="5"/>
      <c r="J2360" s="5"/>
      <c r="K2360" s="5"/>
      <c r="L2360" s="5">
        <v>15</v>
      </c>
      <c r="M2360" s="2" t="s">
        <v>571</v>
      </c>
      <c r="N2360" s="5">
        <v>29.13</v>
      </c>
      <c r="O2360" s="5">
        <v>27.66</v>
      </c>
      <c r="P2360" s="5">
        <v>13.1</v>
      </c>
      <c r="Q2360" s="2" t="s">
        <v>18</v>
      </c>
      <c r="R2360" s="5">
        <v>196.5</v>
      </c>
      <c r="S2360" s="5"/>
      <c r="V2360" s="5"/>
      <c r="W2360" s="6" t="s">
        <v>2568</v>
      </c>
    </row>
    <row r="2361" spans="1:23" x14ac:dyDescent="0.15">
      <c r="A2361" s="2" t="s">
        <v>350</v>
      </c>
      <c r="B2361" s="2" t="s">
        <v>3941</v>
      </c>
      <c r="C2361" s="2" t="s">
        <v>1046</v>
      </c>
      <c r="D2361" s="2" t="s">
        <v>477</v>
      </c>
      <c r="E2361" s="1" t="s">
        <v>1049</v>
      </c>
      <c r="F2361" s="2" t="s">
        <v>2266</v>
      </c>
      <c r="G2361" s="2">
        <v>45.08</v>
      </c>
      <c r="H2361" s="2" t="str">
        <f t="shared" si="80"/>
        <v>W</v>
      </c>
      <c r="I2361" s="5"/>
      <c r="J2361" s="5"/>
      <c r="K2361" s="5">
        <v>12</v>
      </c>
      <c r="L2361" s="5"/>
      <c r="M2361" s="2" t="s">
        <v>571</v>
      </c>
      <c r="N2361" s="5"/>
      <c r="O2361" s="5"/>
      <c r="P2361" s="5"/>
      <c r="R2361" s="5"/>
      <c r="S2361" s="5"/>
      <c r="V2361" s="5"/>
      <c r="W2361" s="6" t="s">
        <v>3253</v>
      </c>
    </row>
    <row r="2362" spans="1:23" x14ac:dyDescent="0.15">
      <c r="A2362" s="2" t="s">
        <v>350</v>
      </c>
      <c r="B2362" s="2" t="s">
        <v>3941</v>
      </c>
      <c r="C2362" s="2" t="s">
        <v>1046</v>
      </c>
      <c r="D2362" s="2" t="s">
        <v>477</v>
      </c>
      <c r="E2362" s="1" t="s">
        <v>44</v>
      </c>
      <c r="F2362" s="2" t="s">
        <v>330</v>
      </c>
      <c r="G2362" s="2">
        <v>30.51</v>
      </c>
      <c r="H2362" s="2" t="str">
        <f t="shared" si="80"/>
        <v>W</v>
      </c>
      <c r="I2362" s="5"/>
      <c r="J2362" s="5"/>
      <c r="K2362" s="5"/>
      <c r="L2362" s="5">
        <v>11.7</v>
      </c>
      <c r="M2362" s="2" t="s">
        <v>571</v>
      </c>
      <c r="N2362" s="5"/>
      <c r="O2362" s="5"/>
      <c r="P2362" s="5"/>
      <c r="R2362" s="5"/>
      <c r="S2362" s="5"/>
      <c r="V2362" s="5"/>
      <c r="W2362" s="6" t="s">
        <v>2566</v>
      </c>
    </row>
    <row r="2363" spans="1:23" x14ac:dyDescent="0.15">
      <c r="A2363" s="2" t="s">
        <v>350</v>
      </c>
      <c r="B2363" s="2" t="s">
        <v>3941</v>
      </c>
      <c r="C2363" s="2" t="s">
        <v>1046</v>
      </c>
      <c r="D2363" s="2" t="s">
        <v>477</v>
      </c>
      <c r="E2363" s="1" t="s">
        <v>1049</v>
      </c>
      <c r="F2363" s="2" t="s">
        <v>2244</v>
      </c>
      <c r="G2363" s="2">
        <v>44.62</v>
      </c>
      <c r="H2363" s="2" t="str">
        <f t="shared" si="80"/>
        <v>W</v>
      </c>
      <c r="I2363" s="5">
        <v>32.28</v>
      </c>
      <c r="J2363" s="5">
        <v>2555.9</v>
      </c>
      <c r="K2363" s="5"/>
      <c r="L2363" s="5">
        <v>16.2</v>
      </c>
      <c r="M2363" s="2" t="s">
        <v>571</v>
      </c>
      <c r="N2363" s="5">
        <v>25.5</v>
      </c>
      <c r="O2363" s="5">
        <v>25.5</v>
      </c>
      <c r="P2363" s="5">
        <v>9.3800000000000008</v>
      </c>
      <c r="Q2363" s="2" t="s">
        <v>18</v>
      </c>
      <c r="R2363" s="5">
        <v>151.96</v>
      </c>
      <c r="S2363" s="5">
        <v>5.9450000000000003</v>
      </c>
      <c r="T2363" s="2" t="s">
        <v>2245</v>
      </c>
      <c r="V2363" s="5"/>
      <c r="W2363" s="6" t="s">
        <v>2570</v>
      </c>
    </row>
    <row r="2364" spans="1:23" x14ac:dyDescent="0.15">
      <c r="A2364" s="2" t="s">
        <v>350</v>
      </c>
      <c r="B2364" s="2" t="s">
        <v>3941</v>
      </c>
      <c r="C2364" s="2" t="s">
        <v>1046</v>
      </c>
      <c r="D2364" s="2" t="s">
        <v>477</v>
      </c>
      <c r="E2364" s="1" t="s">
        <v>1049</v>
      </c>
      <c r="F2364" s="2" t="s">
        <v>476</v>
      </c>
      <c r="G2364" s="2">
        <v>41.53</v>
      </c>
      <c r="H2364" s="2" t="str">
        <f t="shared" si="80"/>
        <v>W</v>
      </c>
      <c r="I2364" s="5">
        <v>37.25</v>
      </c>
      <c r="J2364" s="5">
        <v>4765</v>
      </c>
      <c r="K2364" s="5"/>
      <c r="L2364" s="5">
        <v>31.5</v>
      </c>
      <c r="M2364" s="2" t="s">
        <v>571</v>
      </c>
      <c r="N2364" s="5">
        <v>24.7</v>
      </c>
      <c r="O2364" s="5">
        <v>24.45</v>
      </c>
      <c r="P2364" s="5">
        <v>9.32</v>
      </c>
      <c r="Q2364" s="2" t="s">
        <v>18</v>
      </c>
      <c r="R2364" s="5">
        <v>293.60000000000002</v>
      </c>
      <c r="S2364" s="5">
        <f>(R2364/J2364)*100</f>
        <v>6.1615949632738722</v>
      </c>
      <c r="T2364" s="5">
        <v>2</v>
      </c>
      <c r="U2364" s="2" t="str">
        <f>IF(T2364&lt;=1, "1",IF(AND(T2364&gt;1,T2364&lt;4), "2-3", "+4"))</f>
        <v>2-3</v>
      </c>
      <c r="V2364" s="5">
        <v>13.32</v>
      </c>
      <c r="W2364" s="6" t="s">
        <v>1875</v>
      </c>
    </row>
    <row r="2365" spans="1:23" x14ac:dyDescent="0.15">
      <c r="A2365" s="2" t="s">
        <v>350</v>
      </c>
      <c r="B2365" s="2" t="s">
        <v>3941</v>
      </c>
      <c r="C2365" s="2" t="s">
        <v>1046</v>
      </c>
      <c r="D2365" s="2" t="s">
        <v>477</v>
      </c>
      <c r="E2365" s="1" t="s">
        <v>1049</v>
      </c>
      <c r="F2365" s="2" t="s">
        <v>76</v>
      </c>
      <c r="G2365" s="2">
        <v>47.2</v>
      </c>
      <c r="H2365" s="2" t="str">
        <f t="shared" si="80"/>
        <v>W</v>
      </c>
      <c r="I2365" s="5"/>
      <c r="J2365" s="5"/>
      <c r="K2365" s="5"/>
      <c r="L2365" s="5">
        <v>19.399999999999999</v>
      </c>
      <c r="M2365" s="2" t="s">
        <v>571</v>
      </c>
      <c r="N2365" s="5">
        <v>25.3</v>
      </c>
      <c r="O2365" s="5">
        <v>25.3</v>
      </c>
      <c r="P2365" s="5">
        <v>10.1</v>
      </c>
      <c r="Q2365" s="2" t="s">
        <v>18</v>
      </c>
      <c r="R2365" s="5">
        <v>195.94</v>
      </c>
      <c r="S2365" s="5"/>
      <c r="T2365" s="5">
        <v>2</v>
      </c>
      <c r="U2365" s="2" t="str">
        <f>IF(T2365&lt;=1, "1",IF(AND(T2365&gt;1,T2365&lt;4), "2-3", "+4"))</f>
        <v>2-3</v>
      </c>
      <c r="V2365" s="5"/>
      <c r="W2365" s="6" t="s">
        <v>2569</v>
      </c>
    </row>
    <row r="2366" spans="1:23" x14ac:dyDescent="0.15">
      <c r="A2366" s="2" t="s">
        <v>350</v>
      </c>
      <c r="B2366" s="2" t="s">
        <v>3941</v>
      </c>
      <c r="C2366" s="2" t="s">
        <v>1046</v>
      </c>
      <c r="D2366" s="2" t="s">
        <v>477</v>
      </c>
      <c r="E2366" s="1" t="s">
        <v>4460</v>
      </c>
      <c r="F2366" s="2" t="s">
        <v>379</v>
      </c>
      <c r="G2366" s="2">
        <v>26.87</v>
      </c>
      <c r="H2366" s="2" t="str">
        <f t="shared" si="80"/>
        <v>W</v>
      </c>
      <c r="I2366" s="5">
        <v>23.3</v>
      </c>
      <c r="J2366" s="5">
        <v>2067</v>
      </c>
      <c r="K2366" s="5"/>
      <c r="L2366" s="7">
        <v>7</v>
      </c>
      <c r="M2366" s="2" t="s">
        <v>571</v>
      </c>
      <c r="N2366" s="7">
        <v>29.7</v>
      </c>
      <c r="O2366" s="5">
        <v>29.7</v>
      </c>
      <c r="P2366" s="5">
        <v>14.2</v>
      </c>
      <c r="Q2366" s="2" t="s">
        <v>18</v>
      </c>
      <c r="R2366" s="5">
        <v>99.4</v>
      </c>
      <c r="S2366" s="5">
        <v>4.8099999999999996</v>
      </c>
      <c r="T2366" s="5"/>
      <c r="U2366" s="5"/>
      <c r="V2366" s="5"/>
      <c r="W2366" s="6" t="s">
        <v>2213</v>
      </c>
    </row>
    <row r="2367" spans="1:23" x14ac:dyDescent="0.15">
      <c r="A2367" s="2" t="s">
        <v>350</v>
      </c>
      <c r="B2367" s="2" t="s">
        <v>3941</v>
      </c>
      <c r="C2367" s="2" t="s">
        <v>1046</v>
      </c>
      <c r="D2367" s="2" t="s">
        <v>477</v>
      </c>
      <c r="E2367" s="1" t="s">
        <v>1049</v>
      </c>
      <c r="F2367" s="2" t="s">
        <v>2295</v>
      </c>
      <c r="G2367" s="2">
        <v>40.700000000000003</v>
      </c>
      <c r="H2367" s="2" t="str">
        <f t="shared" si="80"/>
        <v>W</v>
      </c>
      <c r="I2367" s="5"/>
      <c r="J2367" s="5"/>
      <c r="K2367" s="5"/>
      <c r="L2367" s="5">
        <v>39</v>
      </c>
      <c r="M2367" s="2" t="s">
        <v>571</v>
      </c>
      <c r="N2367" s="5">
        <v>28.5</v>
      </c>
      <c r="O2367" s="5">
        <v>28.16</v>
      </c>
      <c r="P2367" s="5">
        <v>11.324</v>
      </c>
      <c r="Q2367" s="2" t="s">
        <v>18</v>
      </c>
      <c r="R2367" s="5">
        <v>441.64</v>
      </c>
      <c r="S2367" s="5"/>
      <c r="V2367" s="5"/>
      <c r="W2367" s="6" t="s">
        <v>2565</v>
      </c>
    </row>
    <row r="2368" spans="1:23" x14ac:dyDescent="0.15">
      <c r="A2368" s="2" t="s">
        <v>350</v>
      </c>
      <c r="B2368" s="2" t="s">
        <v>3941</v>
      </c>
      <c r="C2368" s="2" t="s">
        <v>1046</v>
      </c>
      <c r="D2368" s="2" t="s">
        <v>477</v>
      </c>
      <c r="E2368" s="1" t="s">
        <v>1049</v>
      </c>
      <c r="F2368" s="2" t="s">
        <v>107</v>
      </c>
      <c r="G2368" s="2">
        <v>36.6</v>
      </c>
      <c r="H2368" s="2" t="str">
        <f t="shared" si="80"/>
        <v>W</v>
      </c>
      <c r="I2368" s="5">
        <v>25</v>
      </c>
      <c r="J2368" s="5">
        <f xml:space="preserve"> 0.1012*(I2368^2.951)</f>
        <v>1350.5214242650818</v>
      </c>
      <c r="K2368" s="5"/>
      <c r="L2368" s="5">
        <v>13</v>
      </c>
      <c r="M2368" s="2" t="s">
        <v>571</v>
      </c>
      <c r="N2368" s="5">
        <v>27</v>
      </c>
      <c r="O2368" s="5"/>
      <c r="P2368" s="5">
        <v>10.53</v>
      </c>
      <c r="Q2368" s="2" t="s">
        <v>376</v>
      </c>
      <c r="R2368" s="5">
        <f>P2368*L2368</f>
        <v>136.88999999999999</v>
      </c>
      <c r="S2368" s="5">
        <f>(R2368/J2368)*100</f>
        <v>10.136085036525202</v>
      </c>
      <c r="T2368" s="7">
        <f>MEDIAN(1,2)</f>
        <v>1.5</v>
      </c>
      <c r="U2368" s="2" t="str">
        <f>IF(T2368&lt;=1, "1",IF(AND(T2368&gt;1,T2368&lt;4), "2-3", "+4"))</f>
        <v>2-3</v>
      </c>
      <c r="V2368" s="33">
        <f>T2368*S2368</f>
        <v>15.204127554787803</v>
      </c>
      <c r="W2368" s="6" t="s">
        <v>2221</v>
      </c>
    </row>
    <row r="2369" spans="1:24" x14ac:dyDescent="0.15">
      <c r="A2369" s="2" t="s">
        <v>350</v>
      </c>
      <c r="B2369" s="2" t="s">
        <v>3941</v>
      </c>
      <c r="C2369" s="2" t="s">
        <v>1046</v>
      </c>
      <c r="D2369" s="2" t="s">
        <v>477</v>
      </c>
      <c r="E2369" s="1" t="s">
        <v>1049</v>
      </c>
      <c r="F2369" s="2" t="s">
        <v>523</v>
      </c>
      <c r="G2369" s="2">
        <v>35.9</v>
      </c>
      <c r="H2369" s="2" t="str">
        <f t="shared" si="80"/>
        <v>W</v>
      </c>
      <c r="I2369" s="5">
        <v>29.06</v>
      </c>
      <c r="J2369" s="5">
        <v>2169</v>
      </c>
      <c r="K2369" s="5"/>
      <c r="L2369" s="5">
        <v>14</v>
      </c>
      <c r="M2369" s="2" t="s">
        <v>571</v>
      </c>
      <c r="N2369" s="5">
        <v>26.8</v>
      </c>
      <c r="O2369" s="5">
        <v>26.8</v>
      </c>
      <c r="P2369" s="5">
        <v>11.79</v>
      </c>
      <c r="Q2369" s="2" t="s">
        <v>376</v>
      </c>
      <c r="R2369" s="5">
        <v>165.08</v>
      </c>
      <c r="S2369" s="5">
        <v>7.61</v>
      </c>
      <c r="T2369" s="5">
        <v>2</v>
      </c>
      <c r="U2369" s="2" t="str">
        <f>IF(T2369&lt;=1, "1",IF(AND(T2369&gt;1,T2369&lt;4), "2-3", "+4"))</f>
        <v>2-3</v>
      </c>
      <c r="V2369" s="5">
        <f>S2369*T2369</f>
        <v>15.22</v>
      </c>
      <c r="W2369" s="6" t="s">
        <v>2564</v>
      </c>
    </row>
    <row r="2370" spans="1:24" x14ac:dyDescent="0.15">
      <c r="A2370" s="2" t="s">
        <v>350</v>
      </c>
      <c r="B2370" s="2" t="s">
        <v>3941</v>
      </c>
      <c r="C2370" s="2" t="s">
        <v>1046</v>
      </c>
      <c r="D2370" s="2" t="s">
        <v>477</v>
      </c>
      <c r="E2370" s="1" t="s">
        <v>1049</v>
      </c>
      <c r="F2370" s="2" t="s">
        <v>478</v>
      </c>
      <c r="G2370" s="2">
        <v>42.75</v>
      </c>
      <c r="H2370" s="2" t="str">
        <f t="shared" si="80"/>
        <v>W</v>
      </c>
      <c r="I2370" s="5"/>
      <c r="J2370" s="5"/>
      <c r="K2370" s="5"/>
      <c r="L2370" s="5">
        <v>19.260000000000002</v>
      </c>
      <c r="M2370" s="2" t="s">
        <v>571</v>
      </c>
      <c r="N2370" s="5">
        <v>26.56</v>
      </c>
      <c r="O2370" s="5">
        <v>26.56</v>
      </c>
      <c r="P2370" s="5">
        <v>10.25</v>
      </c>
      <c r="Q2370" s="2" t="s">
        <v>18</v>
      </c>
      <c r="R2370" s="5">
        <v>180.1</v>
      </c>
      <c r="S2370" s="5"/>
      <c r="T2370" s="5"/>
      <c r="V2370" s="5"/>
      <c r="W2370" s="6" t="s">
        <v>2571</v>
      </c>
    </row>
    <row r="2371" spans="1:24" x14ac:dyDescent="0.15">
      <c r="A2371" s="2" t="s">
        <v>350</v>
      </c>
      <c r="B2371" s="2" t="s">
        <v>3941</v>
      </c>
      <c r="C2371" s="2" t="s">
        <v>1046</v>
      </c>
      <c r="D2371" s="2" t="s">
        <v>477</v>
      </c>
      <c r="E2371" s="1" t="s">
        <v>1049</v>
      </c>
      <c r="F2371" s="2" t="s">
        <v>188</v>
      </c>
      <c r="H2371" s="2" t="s">
        <v>3887</v>
      </c>
      <c r="I2371" s="5">
        <v>35.4</v>
      </c>
      <c r="J2371" s="5">
        <f xml:space="preserve"> 0.00015996*(I2371*10)^2.8994</f>
        <v>3931.8003172211847</v>
      </c>
      <c r="K2371" s="5"/>
      <c r="L2371" s="5"/>
      <c r="M2371" s="2" t="s">
        <v>571</v>
      </c>
      <c r="N2371" s="5"/>
      <c r="O2371" s="5"/>
      <c r="P2371" s="5"/>
      <c r="R2371" s="5"/>
      <c r="S2371" s="5"/>
      <c r="T2371" s="7">
        <f>MEDIAN(1,2)</f>
        <v>1.5</v>
      </c>
      <c r="U2371" s="2" t="str">
        <f>IF(T2371&lt;=1, "1",IF(AND(T2371&gt;1,T2371&lt;4), "2-3", "+4"))</f>
        <v>2-3</v>
      </c>
      <c r="V2371" s="5"/>
      <c r="W2371" s="6" t="s">
        <v>2782</v>
      </c>
    </row>
    <row r="2372" spans="1:24" x14ac:dyDescent="0.15">
      <c r="A2372" s="2" t="s">
        <v>350</v>
      </c>
      <c r="B2372" s="2" t="s">
        <v>3941</v>
      </c>
      <c r="C2372" s="2" t="s">
        <v>1046</v>
      </c>
      <c r="D2372" s="2" t="s">
        <v>477</v>
      </c>
      <c r="E2372" s="1" t="s">
        <v>1049</v>
      </c>
      <c r="F2372" s="2" t="s">
        <v>177</v>
      </c>
      <c r="G2372" s="2">
        <v>39.119999999999997</v>
      </c>
      <c r="H2372" s="2" t="str">
        <f t="shared" si="80"/>
        <v>W</v>
      </c>
      <c r="I2372" s="5">
        <v>40.200000000000003</v>
      </c>
      <c r="J2372" s="5">
        <v>5625</v>
      </c>
      <c r="K2372" s="5"/>
      <c r="L2372" s="5">
        <v>31</v>
      </c>
      <c r="M2372" s="2" t="s">
        <v>571</v>
      </c>
      <c r="N2372" s="5">
        <v>24.1</v>
      </c>
      <c r="O2372" s="5">
        <v>24.1</v>
      </c>
      <c r="P2372" s="5">
        <v>7.92</v>
      </c>
      <c r="Q2372" s="2" t="s">
        <v>18</v>
      </c>
      <c r="R2372" s="5">
        <v>245.39</v>
      </c>
      <c r="S2372" s="5">
        <v>4.3600000000000003</v>
      </c>
      <c r="V2372" s="5"/>
      <c r="W2372" s="6" t="s">
        <v>2567</v>
      </c>
    </row>
    <row r="2373" spans="1:24" ht="12.75" customHeight="1" x14ac:dyDescent="0.15">
      <c r="A2373" s="2" t="s">
        <v>350</v>
      </c>
      <c r="B2373" s="2" t="s">
        <v>3941</v>
      </c>
      <c r="C2373" s="2" t="s">
        <v>1046</v>
      </c>
      <c r="D2373" s="2" t="s">
        <v>477</v>
      </c>
      <c r="E2373" s="1"/>
      <c r="F2373" s="2" t="s">
        <v>371</v>
      </c>
      <c r="H2373" s="2" t="s">
        <v>3887</v>
      </c>
      <c r="I2373" s="5"/>
      <c r="J2373" s="5"/>
      <c r="K2373" s="7">
        <f>MEDIAN(8,9)</f>
        <v>8.5</v>
      </c>
      <c r="L2373" s="5"/>
      <c r="M2373" s="2" t="s">
        <v>571</v>
      </c>
      <c r="N2373" s="5"/>
      <c r="O2373" s="5"/>
      <c r="P2373" s="5"/>
      <c r="R2373" s="5"/>
      <c r="S2373" s="5"/>
      <c r="V2373" s="5"/>
      <c r="W2373" s="6" t="s">
        <v>2138</v>
      </c>
    </row>
    <row r="2374" spans="1:24" x14ac:dyDescent="0.15">
      <c r="A2374" s="2" t="s">
        <v>350</v>
      </c>
      <c r="B2374" s="2" t="s">
        <v>3941</v>
      </c>
      <c r="C2374" s="2" t="s">
        <v>3531</v>
      </c>
      <c r="D2374" s="2" t="s">
        <v>818</v>
      </c>
      <c r="E2374" s="1"/>
      <c r="F2374" s="2" t="s">
        <v>867</v>
      </c>
      <c r="G2374" s="2">
        <v>24</v>
      </c>
      <c r="H2374" s="2" t="str">
        <f t="shared" si="80"/>
        <v>W</v>
      </c>
      <c r="I2374" s="5">
        <v>111</v>
      </c>
      <c r="J2374" s="5">
        <v>108000</v>
      </c>
      <c r="K2374" s="5"/>
      <c r="L2374" s="5">
        <v>107</v>
      </c>
      <c r="M2374" s="2" t="s">
        <v>571</v>
      </c>
      <c r="N2374" s="5">
        <v>34</v>
      </c>
      <c r="O2374" s="5">
        <v>34</v>
      </c>
      <c r="P2374" s="5">
        <f xml:space="preserve"> 0.637*N2374 + 0.506*O2374 - 19.669</f>
        <v>19.193000000000001</v>
      </c>
      <c r="Q2374" s="2" t="s">
        <v>376</v>
      </c>
      <c r="R2374" s="5">
        <v>2140</v>
      </c>
      <c r="S2374" s="5">
        <f>(R2374/J2374)*100</f>
        <v>1.9814814814814816</v>
      </c>
      <c r="T2374" s="5">
        <v>3</v>
      </c>
      <c r="U2374" s="2" t="str">
        <f>IF(T2374&lt;=1, "1",IF(AND(T2374&gt;1,T2374&lt;4), "2-3", "+4"))</f>
        <v>2-3</v>
      </c>
      <c r="V2374" s="5">
        <f>S2374*T2374</f>
        <v>5.9444444444444446</v>
      </c>
      <c r="W2374" s="6" t="s">
        <v>2132</v>
      </c>
    </row>
    <row r="2375" spans="1:24" x14ac:dyDescent="0.15">
      <c r="A2375" s="2" t="s">
        <v>350</v>
      </c>
      <c r="B2375" s="2" t="s">
        <v>3941</v>
      </c>
      <c r="C2375" s="2" t="s">
        <v>3531</v>
      </c>
      <c r="D2375" s="2" t="s">
        <v>818</v>
      </c>
      <c r="E2375" s="1"/>
      <c r="F2375" s="2" t="s">
        <v>868</v>
      </c>
      <c r="G2375" s="2" t="s">
        <v>374</v>
      </c>
      <c r="H2375" s="2" t="s">
        <v>30</v>
      </c>
      <c r="I2375" s="5">
        <v>91.25</v>
      </c>
      <c r="J2375" s="5">
        <v>86000</v>
      </c>
      <c r="K2375" s="5"/>
      <c r="L2375" s="5">
        <v>63.55</v>
      </c>
      <c r="M2375" s="5" t="s">
        <v>571</v>
      </c>
      <c r="N2375" s="5">
        <v>33.159999999999997</v>
      </c>
      <c r="O2375" s="5">
        <v>31.94</v>
      </c>
      <c r="P2375" s="5">
        <v>19</v>
      </c>
      <c r="Q2375" s="2" t="s">
        <v>18</v>
      </c>
      <c r="R2375" s="5">
        <v>1207.3599999999999</v>
      </c>
      <c r="S2375" s="5">
        <v>1.4</v>
      </c>
      <c r="T2375" s="2">
        <v>4</v>
      </c>
      <c r="U2375" s="9" t="s">
        <v>4128</v>
      </c>
      <c r="V2375" s="5">
        <v>5.62</v>
      </c>
      <c r="W2375" s="6" t="s">
        <v>4141</v>
      </c>
    </row>
    <row r="2376" spans="1:24" x14ac:dyDescent="0.15">
      <c r="A2376" s="2" t="s">
        <v>350</v>
      </c>
      <c r="B2376" s="2" t="s">
        <v>3941</v>
      </c>
      <c r="C2376" s="2" t="s">
        <v>3531</v>
      </c>
      <c r="D2376" s="2" t="s">
        <v>460</v>
      </c>
      <c r="E2376" s="1"/>
      <c r="F2376" s="2" t="s">
        <v>461</v>
      </c>
      <c r="G2376" s="2">
        <v>22.5</v>
      </c>
      <c r="H2376" s="2" t="str">
        <f t="shared" si="80"/>
        <v>W</v>
      </c>
      <c r="I2376" s="5"/>
      <c r="J2376" s="5"/>
      <c r="K2376" s="5"/>
      <c r="L2376" s="5">
        <v>117.8</v>
      </c>
      <c r="M2376" s="5" t="s">
        <v>571</v>
      </c>
      <c r="N2376" s="5">
        <v>26.8</v>
      </c>
      <c r="O2376" s="5">
        <v>26.8</v>
      </c>
      <c r="P2376" s="5">
        <v>10.4</v>
      </c>
      <c r="Q2376" s="2" t="s">
        <v>18</v>
      </c>
      <c r="R2376" s="5">
        <v>1225.0999999999999</v>
      </c>
      <c r="S2376" s="5"/>
      <c r="V2376" s="5"/>
      <c r="W2376" s="6" t="s">
        <v>2563</v>
      </c>
    </row>
    <row r="2377" spans="1:24" x14ac:dyDescent="0.15">
      <c r="A2377" s="2" t="s">
        <v>350</v>
      </c>
      <c r="B2377" s="2" t="s">
        <v>3941</v>
      </c>
      <c r="C2377" s="2" t="s">
        <v>3531</v>
      </c>
      <c r="D2377" s="2" t="s">
        <v>460</v>
      </c>
      <c r="E2377" s="1"/>
      <c r="F2377" s="2" t="s">
        <v>218</v>
      </c>
      <c r="G2377" s="2">
        <v>24</v>
      </c>
      <c r="H2377" s="2" t="str">
        <f t="shared" si="80"/>
        <v>W</v>
      </c>
      <c r="I2377" s="5">
        <v>64.44</v>
      </c>
      <c r="J2377" s="5">
        <v>30166.36</v>
      </c>
      <c r="K2377" s="5"/>
      <c r="L2377" s="5"/>
      <c r="M2377" s="2" t="s">
        <v>571</v>
      </c>
      <c r="N2377" s="5">
        <v>34.020000000000003</v>
      </c>
      <c r="O2377" s="5">
        <v>34.020000000000003</v>
      </c>
      <c r="P2377" s="5">
        <v>21.96</v>
      </c>
      <c r="Q2377" s="2" t="s">
        <v>18</v>
      </c>
      <c r="R2377" s="5"/>
      <c r="S2377" s="5"/>
      <c r="T2377" s="2" t="s">
        <v>2296</v>
      </c>
      <c r="U2377" s="40" t="s">
        <v>395</v>
      </c>
      <c r="V2377" s="5"/>
      <c r="W2377" s="6" t="s">
        <v>2536</v>
      </c>
    </row>
    <row r="2378" spans="1:24" x14ac:dyDescent="0.15">
      <c r="A2378" s="1" t="s">
        <v>350</v>
      </c>
      <c r="B2378" s="1" t="s">
        <v>3941</v>
      </c>
      <c r="C2378" s="1" t="s">
        <v>3531</v>
      </c>
      <c r="D2378" s="1" t="s">
        <v>460</v>
      </c>
      <c r="E2378" s="1"/>
      <c r="F2378" s="1" t="s">
        <v>204</v>
      </c>
      <c r="G2378" s="1">
        <v>26.77</v>
      </c>
      <c r="H2378" s="1" t="str">
        <f t="shared" si="80"/>
        <v>W</v>
      </c>
      <c r="I2378" s="8"/>
      <c r="J2378" s="8"/>
      <c r="K2378" s="8"/>
      <c r="L2378" s="8">
        <v>130</v>
      </c>
      <c r="M2378" s="8" t="s">
        <v>571</v>
      </c>
      <c r="N2378" s="8">
        <v>23.96</v>
      </c>
      <c r="O2378" s="8">
        <v>23.96</v>
      </c>
      <c r="P2378" s="8">
        <v>10.16</v>
      </c>
      <c r="Q2378" s="1" t="s">
        <v>18</v>
      </c>
      <c r="R2378" s="8">
        <v>1320.8</v>
      </c>
      <c r="S2378" s="8"/>
      <c r="T2378" s="1"/>
      <c r="U2378" s="1"/>
      <c r="V2378" s="8"/>
      <c r="W2378" s="3" t="s">
        <v>4011</v>
      </c>
      <c r="X2378" s="1"/>
    </row>
    <row r="2379" spans="1:24" x14ac:dyDescent="0.15">
      <c r="A2379" s="2" t="s">
        <v>350</v>
      </c>
      <c r="B2379" s="2" t="s">
        <v>3941</v>
      </c>
      <c r="C2379" s="2" t="s">
        <v>3531</v>
      </c>
      <c r="D2379" s="2" t="s">
        <v>460</v>
      </c>
      <c r="E2379" s="1"/>
      <c r="F2379" s="2" t="s">
        <v>374</v>
      </c>
      <c r="G2379" s="2" t="s">
        <v>374</v>
      </c>
      <c r="H2379" s="2" t="str">
        <f t="shared" si="80"/>
        <v>C</v>
      </c>
      <c r="I2379" s="5">
        <v>53.6</v>
      </c>
      <c r="J2379" s="5">
        <v>14500</v>
      </c>
      <c r="K2379" s="5">
        <v>14</v>
      </c>
      <c r="L2379" s="5">
        <v>26</v>
      </c>
      <c r="M2379" s="2" t="s">
        <v>571</v>
      </c>
      <c r="N2379" s="5">
        <v>28</v>
      </c>
      <c r="O2379" s="5">
        <v>28</v>
      </c>
      <c r="P2379" s="5">
        <v>10.8</v>
      </c>
      <c r="Q2379" s="2" t="s">
        <v>18</v>
      </c>
      <c r="R2379" s="5">
        <v>280.8</v>
      </c>
      <c r="S2379" s="5">
        <v>1.9370000000000001</v>
      </c>
      <c r="V2379" s="5"/>
      <c r="W2379" s="6" t="s">
        <v>2562</v>
      </c>
    </row>
    <row r="2380" spans="1:24" x14ac:dyDescent="0.15">
      <c r="A2380" s="2" t="s">
        <v>350</v>
      </c>
      <c r="B2380" s="2" t="s">
        <v>3941</v>
      </c>
      <c r="C2380" s="2" t="s">
        <v>3531</v>
      </c>
      <c r="D2380" s="2" t="s">
        <v>460</v>
      </c>
      <c r="E2380" s="1"/>
      <c r="F2380" s="2" t="s">
        <v>204</v>
      </c>
      <c r="H2380" s="2" t="s">
        <v>3887</v>
      </c>
      <c r="I2380" s="5"/>
      <c r="J2380" s="5"/>
      <c r="K2380" s="5"/>
      <c r="L2380" s="7">
        <f>MEDIAN(8,10)</f>
        <v>9</v>
      </c>
      <c r="M2380" s="2" t="s">
        <v>571</v>
      </c>
      <c r="N2380" s="5">
        <f>MEDIAN(36,42)</f>
        <v>39</v>
      </c>
      <c r="O2380" s="5"/>
      <c r="P2380" s="5"/>
      <c r="R2380" s="5"/>
      <c r="S2380" s="5"/>
      <c r="V2380" s="5"/>
      <c r="W2380" s="6" t="s">
        <v>2975</v>
      </c>
    </row>
    <row r="2381" spans="1:24" x14ac:dyDescent="0.15">
      <c r="A2381" s="2" t="s">
        <v>350</v>
      </c>
      <c r="B2381" s="2" t="s">
        <v>3941</v>
      </c>
      <c r="C2381" s="2" t="s">
        <v>3531</v>
      </c>
      <c r="D2381" s="2" t="s">
        <v>819</v>
      </c>
      <c r="E2381" s="1"/>
      <c r="F2381" s="2" t="s">
        <v>438</v>
      </c>
      <c r="G2381" s="2">
        <v>21.46</v>
      </c>
      <c r="H2381" s="2" t="s">
        <v>30</v>
      </c>
      <c r="I2381" s="5"/>
      <c r="J2381" s="5">
        <v>59200</v>
      </c>
      <c r="K2381" s="5"/>
      <c r="L2381" s="7">
        <v>112.8</v>
      </c>
      <c r="M2381" s="2" t="s">
        <v>571</v>
      </c>
      <c r="N2381" s="5">
        <v>29.6</v>
      </c>
      <c r="O2381" s="5">
        <v>29.6</v>
      </c>
      <c r="P2381" s="5">
        <v>15.04</v>
      </c>
      <c r="Q2381" s="2" t="s">
        <v>18</v>
      </c>
      <c r="R2381" s="5">
        <v>1696.51</v>
      </c>
      <c r="S2381" s="5">
        <v>2.8650000000000002</v>
      </c>
      <c r="T2381" s="2">
        <v>5</v>
      </c>
      <c r="U2381" s="9" t="s">
        <v>4128</v>
      </c>
      <c r="V2381" s="5">
        <v>14.33</v>
      </c>
      <c r="W2381" s="6" t="s">
        <v>4142</v>
      </c>
    </row>
    <row r="2382" spans="1:24" x14ac:dyDescent="0.15">
      <c r="A2382" s="2" t="s">
        <v>350</v>
      </c>
      <c r="B2382" s="2" t="s">
        <v>3941</v>
      </c>
      <c r="C2382" s="2" t="s">
        <v>3531</v>
      </c>
      <c r="D2382" s="2" t="s">
        <v>819</v>
      </c>
      <c r="E2382" s="1"/>
      <c r="F2382" s="2" t="s">
        <v>438</v>
      </c>
      <c r="G2382" s="2">
        <v>21.92</v>
      </c>
      <c r="H2382" s="2" t="str">
        <f t="shared" si="80"/>
        <v>W</v>
      </c>
      <c r="I2382" s="5">
        <v>100</v>
      </c>
      <c r="J2382" s="5">
        <v>89723</v>
      </c>
      <c r="K2382" s="5"/>
      <c r="L2382" s="5">
        <v>80.7</v>
      </c>
      <c r="M2382" s="2" t="s">
        <v>571</v>
      </c>
      <c r="N2382" s="5">
        <v>28.2</v>
      </c>
      <c r="O2382" s="5">
        <v>28.2</v>
      </c>
      <c r="P2382" s="5">
        <f xml:space="preserve"> 0.637*N2382 + 0.506*O2382 - 19.669</f>
        <v>12.563599999999997</v>
      </c>
      <c r="Q2382" s="2" t="s">
        <v>376</v>
      </c>
      <c r="R2382" s="5">
        <f>P2382*L2382</f>
        <v>1013.8825199999998</v>
      </c>
      <c r="S2382" s="5">
        <f>(R2382/J2382)*100</f>
        <v>1.1300140655127446</v>
      </c>
      <c r="V2382" s="5"/>
      <c r="W2382" s="6" t="s">
        <v>2561</v>
      </c>
    </row>
    <row r="2383" spans="1:24" x14ac:dyDescent="0.15">
      <c r="A2383" s="2" t="s">
        <v>350</v>
      </c>
      <c r="B2383" s="2" t="s">
        <v>3940</v>
      </c>
      <c r="C2383" s="2" t="s">
        <v>3532</v>
      </c>
      <c r="D2383" s="2" t="s">
        <v>820</v>
      </c>
      <c r="E2383" s="1"/>
      <c r="F2383" s="2" t="s">
        <v>302</v>
      </c>
      <c r="G2383" s="2">
        <v>4.8600000000000003</v>
      </c>
      <c r="H2383" s="2" t="str">
        <f t="shared" si="80"/>
        <v>W</v>
      </c>
      <c r="I2383" s="5"/>
      <c r="J2383" s="5"/>
      <c r="K2383" s="5"/>
      <c r="L2383" s="5">
        <v>27</v>
      </c>
      <c r="M2383" s="2" t="s">
        <v>571</v>
      </c>
      <c r="N2383" s="5"/>
      <c r="O2383" s="5"/>
      <c r="P2383" s="5"/>
      <c r="R2383" s="5"/>
      <c r="S2383" s="5"/>
      <c r="T2383" s="2" t="s">
        <v>372</v>
      </c>
      <c r="U2383" s="40" t="s">
        <v>395</v>
      </c>
      <c r="V2383" s="5"/>
      <c r="W2383" s="6" t="s">
        <v>2560</v>
      </c>
    </row>
    <row r="2384" spans="1:24" x14ac:dyDescent="0.15">
      <c r="A2384" s="2" t="s">
        <v>350</v>
      </c>
      <c r="B2384" s="2" t="s">
        <v>3940</v>
      </c>
      <c r="C2384" s="2" t="s">
        <v>3532</v>
      </c>
      <c r="D2384" s="2" t="s">
        <v>821</v>
      </c>
      <c r="E2384" s="1"/>
      <c r="F2384" s="2" t="s">
        <v>869</v>
      </c>
      <c r="H2384" s="2" t="s">
        <v>3887</v>
      </c>
      <c r="I2384" s="5"/>
      <c r="J2384" s="5"/>
      <c r="K2384" s="5"/>
      <c r="L2384" s="5"/>
      <c r="M2384" s="2" t="s">
        <v>571</v>
      </c>
      <c r="N2384" s="5">
        <v>36</v>
      </c>
      <c r="O2384" s="5">
        <v>36</v>
      </c>
      <c r="P2384" s="5">
        <f xml:space="preserve"> 0.637*N2384 + 0.506*O2384 - 19.669</f>
        <v>21.479000000000003</v>
      </c>
      <c r="Q2384" s="2" t="s">
        <v>376</v>
      </c>
      <c r="R2384" s="5"/>
      <c r="S2384" s="5"/>
      <c r="V2384" s="5"/>
      <c r="W2384" s="6" t="s">
        <v>1954</v>
      </c>
    </row>
    <row r="2385" spans="1:23" x14ac:dyDescent="0.15">
      <c r="A2385" s="2" t="s">
        <v>350</v>
      </c>
      <c r="B2385" s="2" t="s">
        <v>3940</v>
      </c>
      <c r="C2385" s="2" t="s">
        <v>3533</v>
      </c>
      <c r="D2385" s="2" t="s">
        <v>483</v>
      </c>
      <c r="E2385" s="1"/>
      <c r="F2385" s="2" t="s">
        <v>484</v>
      </c>
      <c r="G2385" s="2">
        <v>-1.5</v>
      </c>
      <c r="H2385" s="2" t="str">
        <f t="shared" si="80"/>
        <v>W</v>
      </c>
      <c r="I2385" s="5"/>
      <c r="J2385" s="5"/>
      <c r="K2385" s="5"/>
      <c r="L2385" s="5">
        <v>24.5</v>
      </c>
      <c r="M2385" s="5" t="s">
        <v>571</v>
      </c>
      <c r="N2385" s="5">
        <v>31.6</v>
      </c>
      <c r="O2385" s="5">
        <v>31.5</v>
      </c>
      <c r="P2385" s="5">
        <v>18.8</v>
      </c>
      <c r="Q2385" s="2" t="s">
        <v>18</v>
      </c>
      <c r="R2385" s="5">
        <v>460.6</v>
      </c>
      <c r="S2385" s="5"/>
      <c r="T2385" s="5" t="s">
        <v>372</v>
      </c>
      <c r="U2385" s="40" t="s">
        <v>395</v>
      </c>
      <c r="V2385" s="5"/>
      <c r="W2385" s="6" t="s">
        <v>3233</v>
      </c>
    </row>
    <row r="2386" spans="1:23" x14ac:dyDescent="0.15">
      <c r="A2386" s="2" t="s">
        <v>350</v>
      </c>
      <c r="B2386" s="2" t="s">
        <v>3940</v>
      </c>
      <c r="C2386" s="2" t="s">
        <v>3533</v>
      </c>
      <c r="D2386" s="2" t="s">
        <v>822</v>
      </c>
      <c r="E2386" s="1"/>
      <c r="F2386" s="2" t="s">
        <v>1924</v>
      </c>
      <c r="G2386" s="2">
        <v>-14.31</v>
      </c>
      <c r="H2386" s="2" t="str">
        <f t="shared" si="80"/>
        <v>W</v>
      </c>
      <c r="I2386" s="5"/>
      <c r="J2386" s="5">
        <v>12000</v>
      </c>
      <c r="K2386" s="5"/>
      <c r="L2386" s="5">
        <v>25</v>
      </c>
      <c r="M2386" s="2" t="s">
        <v>571</v>
      </c>
      <c r="N2386" s="5">
        <v>32.950000000000003</v>
      </c>
      <c r="O2386" s="5">
        <v>31.92</v>
      </c>
      <c r="P2386" s="5">
        <v>19.850000000000001</v>
      </c>
      <c r="Q2386" s="2" t="s">
        <v>18</v>
      </c>
      <c r="R2386" s="5">
        <v>496.25</v>
      </c>
      <c r="S2386" s="5">
        <v>4.1399999999999997</v>
      </c>
      <c r="V2386" s="5"/>
      <c r="W2386" s="6" t="s">
        <v>3304</v>
      </c>
    </row>
    <row r="2387" spans="1:23" x14ac:dyDescent="0.15">
      <c r="A2387" s="2" t="s">
        <v>350</v>
      </c>
      <c r="B2387" s="2" t="s">
        <v>3940</v>
      </c>
      <c r="C2387" s="2" t="s">
        <v>3533</v>
      </c>
      <c r="D2387" s="2" t="s">
        <v>822</v>
      </c>
      <c r="E2387" s="1"/>
      <c r="F2387" s="2" t="s">
        <v>644</v>
      </c>
      <c r="G2387" s="2">
        <v>-12</v>
      </c>
      <c r="H2387" s="2" t="str">
        <f t="shared" si="80"/>
        <v>W</v>
      </c>
      <c r="I2387" s="5">
        <v>56</v>
      </c>
      <c r="J2387" s="5">
        <f xml:space="preserve"> 0.00015996*(I2387*10)^2.8994</f>
        <v>14863.043914431475</v>
      </c>
      <c r="K2387" s="5"/>
      <c r="L2387" s="5">
        <v>18</v>
      </c>
      <c r="M2387" s="2" t="s">
        <v>571</v>
      </c>
      <c r="N2387" s="5">
        <v>32.75</v>
      </c>
      <c r="O2387" s="5"/>
      <c r="P2387" s="5">
        <f xml:space="preserve"> 0.637*N2387 + 0.506*N2387 - 19.669</f>
        <v>17.764250000000001</v>
      </c>
      <c r="Q2387" s="2" t="s">
        <v>376</v>
      </c>
      <c r="R2387" s="5">
        <v>323.10000000000002</v>
      </c>
      <c r="S2387" s="5">
        <f>(R2387/J2387)*100</f>
        <v>2.1738481152321811</v>
      </c>
      <c r="T2387" s="5">
        <v>2.5</v>
      </c>
      <c r="U2387" s="2" t="str">
        <f>IF(T2387&lt;=1, "1",IF(AND(T2387&gt;1,T2387&lt;4), "2-3", "+4"))</f>
        <v>2-3</v>
      </c>
      <c r="V2387" s="5">
        <f>S2387*T2387</f>
        <v>5.4346202880804526</v>
      </c>
      <c r="W2387" s="6" t="s">
        <v>1954</v>
      </c>
    </row>
    <row r="2388" spans="1:23" x14ac:dyDescent="0.15">
      <c r="A2388" s="2" t="s">
        <v>350</v>
      </c>
      <c r="B2388" s="2" t="s">
        <v>3941</v>
      </c>
      <c r="C2388" s="2" t="s">
        <v>3534</v>
      </c>
      <c r="D2388" s="2" t="s">
        <v>823</v>
      </c>
      <c r="E2388" s="1"/>
      <c r="F2388" s="2" t="s">
        <v>29</v>
      </c>
      <c r="H2388" s="2" t="s">
        <v>3887</v>
      </c>
      <c r="I2388" s="5"/>
      <c r="J2388" s="5"/>
      <c r="K2388" s="5"/>
      <c r="L2388" s="5"/>
      <c r="M2388" s="2" t="s">
        <v>571</v>
      </c>
      <c r="N2388" s="5"/>
      <c r="O2388" s="5"/>
      <c r="P2388" s="5"/>
      <c r="R2388" s="5"/>
      <c r="S2388" s="5"/>
      <c r="V2388" s="5"/>
      <c r="W2388" s="6" t="s">
        <v>838</v>
      </c>
    </row>
    <row r="2389" spans="1:23" x14ac:dyDescent="0.15">
      <c r="A2389" s="2" t="s">
        <v>350</v>
      </c>
      <c r="B2389" s="2" t="s">
        <v>3940</v>
      </c>
      <c r="C2389" s="2" t="s">
        <v>1043</v>
      </c>
      <c r="D2389" s="2" t="s">
        <v>824</v>
      </c>
      <c r="E2389" s="1" t="s">
        <v>3834</v>
      </c>
      <c r="F2389" s="2" t="s">
        <v>912</v>
      </c>
      <c r="G2389" s="2">
        <v>6.59</v>
      </c>
      <c r="H2389" s="2" t="str">
        <f t="shared" si="80"/>
        <v>W</v>
      </c>
      <c r="I2389" s="5">
        <v>37</v>
      </c>
      <c r="J2389" s="5">
        <v>6917</v>
      </c>
      <c r="K2389" s="5"/>
      <c r="L2389" s="5">
        <v>11</v>
      </c>
      <c r="M2389" s="2" t="s">
        <v>571</v>
      </c>
      <c r="N2389" s="5">
        <v>31.32</v>
      </c>
      <c r="O2389" s="5">
        <v>31.32</v>
      </c>
      <c r="P2389" s="5">
        <v>14.97</v>
      </c>
      <c r="Q2389" s="2" t="s">
        <v>376</v>
      </c>
      <c r="R2389" s="5">
        <v>164.64</v>
      </c>
      <c r="S2389" s="5">
        <v>2.38</v>
      </c>
      <c r="T2389" s="2" t="s">
        <v>372</v>
      </c>
      <c r="U2389" s="40" t="s">
        <v>395</v>
      </c>
      <c r="V2389" s="5"/>
      <c r="W2389" s="6" t="s">
        <v>3266</v>
      </c>
    </row>
    <row r="2390" spans="1:23" x14ac:dyDescent="0.15">
      <c r="A2390" s="2" t="s">
        <v>350</v>
      </c>
      <c r="B2390" s="2" t="s">
        <v>3940</v>
      </c>
      <c r="C2390" s="2" t="s">
        <v>1043</v>
      </c>
      <c r="D2390" s="2" t="s">
        <v>403</v>
      </c>
      <c r="E2390" s="1" t="s">
        <v>1044</v>
      </c>
      <c r="F2390" s="2" t="s">
        <v>3551</v>
      </c>
      <c r="G2390" s="2" t="s">
        <v>374</v>
      </c>
      <c r="H2390" s="2" t="str">
        <f t="shared" si="80"/>
        <v>C</v>
      </c>
      <c r="I2390" s="5"/>
      <c r="J2390" s="5"/>
      <c r="K2390" s="5"/>
      <c r="L2390" s="5">
        <v>7</v>
      </c>
      <c r="M2390" s="2" t="s">
        <v>571</v>
      </c>
      <c r="N2390" s="5">
        <v>25.8</v>
      </c>
      <c r="O2390" s="5">
        <v>25.8</v>
      </c>
      <c r="P2390" s="5">
        <v>10.9</v>
      </c>
      <c r="Q2390" s="2" t="s">
        <v>18</v>
      </c>
      <c r="R2390" s="5">
        <f>P2390*L2390</f>
        <v>76.3</v>
      </c>
      <c r="S2390" s="5"/>
      <c r="V2390" s="5"/>
      <c r="W2390" s="6" t="s">
        <v>3552</v>
      </c>
    </row>
    <row r="2391" spans="1:23" x14ac:dyDescent="0.15">
      <c r="A2391" s="2" t="s">
        <v>350</v>
      </c>
      <c r="B2391" s="2" t="s">
        <v>3940</v>
      </c>
      <c r="C2391" s="2" t="s">
        <v>1043</v>
      </c>
      <c r="D2391" s="2" t="s">
        <v>403</v>
      </c>
      <c r="E2391" s="1" t="s">
        <v>1044</v>
      </c>
      <c r="F2391" s="2" t="s">
        <v>374</v>
      </c>
      <c r="G2391" s="2" t="s">
        <v>374</v>
      </c>
      <c r="H2391" s="2" t="str">
        <f t="shared" si="80"/>
        <v>C</v>
      </c>
      <c r="I2391" s="5"/>
      <c r="J2391" s="5"/>
      <c r="K2391" s="5"/>
      <c r="L2391" s="5">
        <v>5.83</v>
      </c>
      <c r="M2391" s="2" t="s">
        <v>571</v>
      </c>
      <c r="N2391" s="5">
        <v>28.64</v>
      </c>
      <c r="O2391" s="5">
        <v>27.3</v>
      </c>
      <c r="P2391" s="5">
        <v>11.35</v>
      </c>
      <c r="Q2391" s="2" t="s">
        <v>18</v>
      </c>
      <c r="R2391" s="5">
        <v>66.17</v>
      </c>
      <c r="S2391" s="5"/>
      <c r="V2391" s="5"/>
      <c r="W2391" s="6" t="s">
        <v>3275</v>
      </c>
    </row>
    <row r="2392" spans="1:23" x14ac:dyDescent="0.15">
      <c r="A2392" s="2" t="s">
        <v>350</v>
      </c>
      <c r="B2392" s="2" t="s">
        <v>3940</v>
      </c>
      <c r="C2392" s="2" t="s">
        <v>1043</v>
      </c>
      <c r="D2392" s="2" t="s">
        <v>403</v>
      </c>
      <c r="E2392" s="1" t="s">
        <v>1044</v>
      </c>
      <c r="F2392" s="2" t="s">
        <v>204</v>
      </c>
      <c r="G2392" s="2" t="s">
        <v>374</v>
      </c>
      <c r="H2392" s="2" t="str">
        <f t="shared" si="80"/>
        <v>C</v>
      </c>
      <c r="I2392" s="5"/>
      <c r="J2392" s="5"/>
      <c r="K2392" s="5"/>
      <c r="L2392" s="5">
        <v>5.83</v>
      </c>
      <c r="M2392" s="2" t="s">
        <v>571</v>
      </c>
      <c r="N2392" s="7">
        <v>28.64</v>
      </c>
      <c r="O2392" s="7">
        <v>27.3</v>
      </c>
      <c r="P2392" s="5">
        <v>11.35</v>
      </c>
      <c r="Q2392" s="2" t="s">
        <v>18</v>
      </c>
      <c r="R2392" s="5">
        <v>66.17</v>
      </c>
      <c r="S2392" s="5"/>
      <c r="T2392" s="2" t="s">
        <v>122</v>
      </c>
      <c r="V2392" s="5"/>
      <c r="W2392" s="6" t="s">
        <v>3275</v>
      </c>
    </row>
    <row r="2393" spans="1:23" ht="12.75" customHeight="1" x14ac:dyDescent="0.15">
      <c r="A2393" s="2" t="s">
        <v>350</v>
      </c>
      <c r="B2393" s="2" t="s">
        <v>3940</v>
      </c>
      <c r="C2393" s="2" t="s">
        <v>1043</v>
      </c>
      <c r="D2393" s="2" t="s">
        <v>403</v>
      </c>
      <c r="E2393" s="1" t="s">
        <v>1044</v>
      </c>
      <c r="F2393" s="2" t="s">
        <v>204</v>
      </c>
      <c r="G2393" s="2">
        <v>32.700000000000003</v>
      </c>
      <c r="H2393" s="2" t="str">
        <f t="shared" ref="H2393:H2397" si="81">IF(G2393="captive","C","W")</f>
        <v>W</v>
      </c>
      <c r="I2393" s="5">
        <v>26.57</v>
      </c>
      <c r="J2393" s="5">
        <v>2024</v>
      </c>
      <c r="K2393" s="5"/>
      <c r="L2393" s="5">
        <v>9.14</v>
      </c>
      <c r="M2393" s="2" t="s">
        <v>571</v>
      </c>
      <c r="N2393" s="5"/>
      <c r="O2393" s="7"/>
      <c r="P2393" s="5"/>
      <c r="R2393" s="5"/>
      <c r="S2393" s="5"/>
      <c r="V2393" s="5"/>
      <c r="W2393" s="6" t="s">
        <v>3268</v>
      </c>
    </row>
    <row r="2394" spans="1:23" x14ac:dyDescent="0.15">
      <c r="A2394" s="2" t="s">
        <v>350</v>
      </c>
      <c r="B2394" s="2" t="s">
        <v>3940</v>
      </c>
      <c r="C2394" s="2" t="s">
        <v>1043</v>
      </c>
      <c r="D2394" s="2" t="s">
        <v>403</v>
      </c>
      <c r="E2394" s="1" t="s">
        <v>1044</v>
      </c>
      <c r="F2394" s="2" t="s">
        <v>204</v>
      </c>
      <c r="G2394" s="2">
        <v>32.130000000000003</v>
      </c>
      <c r="H2394" s="2" t="str">
        <f t="shared" si="81"/>
        <v>W</v>
      </c>
      <c r="I2394" s="5">
        <f>25.06/0.946</f>
        <v>26.490486257928119</v>
      </c>
      <c r="J2394" s="5">
        <v>1630.2</v>
      </c>
      <c r="K2394" s="5"/>
      <c r="L2394" s="7">
        <v>9.14</v>
      </c>
      <c r="M2394" s="2" t="s">
        <v>571</v>
      </c>
      <c r="N2394" s="7">
        <v>26.74</v>
      </c>
      <c r="O2394" s="7">
        <v>26.74</v>
      </c>
      <c r="P2394" s="5">
        <v>11.45</v>
      </c>
      <c r="Q2394" s="2" t="s">
        <v>18</v>
      </c>
      <c r="R2394" s="5">
        <v>104.65</v>
      </c>
      <c r="S2394" s="5">
        <v>6.42</v>
      </c>
      <c r="T2394" s="5">
        <v>2</v>
      </c>
      <c r="U2394" s="2" t="str">
        <f>IF(T2394&lt;=1, "1",IF(AND(T2394&gt;1,T2394&lt;4), "2-3", "+4"))</f>
        <v>2-3</v>
      </c>
      <c r="V2394" s="5">
        <f>S2394*T2394</f>
        <v>12.84</v>
      </c>
      <c r="W2394" s="6" t="s">
        <v>2553</v>
      </c>
    </row>
    <row r="2395" spans="1:23" ht="12.75" customHeight="1" x14ac:dyDescent="0.15">
      <c r="A2395" s="2" t="s">
        <v>350</v>
      </c>
      <c r="B2395" s="2" t="s">
        <v>3940</v>
      </c>
      <c r="C2395" s="2" t="s">
        <v>1043</v>
      </c>
      <c r="D2395" s="2" t="s">
        <v>403</v>
      </c>
      <c r="E2395" s="1" t="s">
        <v>1044</v>
      </c>
      <c r="F2395" s="2" t="s">
        <v>218</v>
      </c>
      <c r="G2395" s="2">
        <v>23</v>
      </c>
      <c r="H2395" s="2" t="str">
        <f t="shared" si="81"/>
        <v>W</v>
      </c>
      <c r="I2395" s="5">
        <f>EXP((LN(J2395/0.19454))/2.8203)</f>
        <v>24.254017481219805</v>
      </c>
      <c r="J2395" s="5">
        <v>1565</v>
      </c>
      <c r="K2395" s="5"/>
      <c r="L2395" s="5">
        <v>14.03</v>
      </c>
      <c r="M2395" s="2" t="s">
        <v>571</v>
      </c>
      <c r="N2395" s="5">
        <v>26</v>
      </c>
      <c r="O2395" s="5">
        <v>26</v>
      </c>
      <c r="P2395" s="5">
        <v>10.3</v>
      </c>
      <c r="Q2395" s="2" t="s">
        <v>18</v>
      </c>
      <c r="R2395" s="5">
        <f>P2395*L2395</f>
        <v>144.50900000000001</v>
      </c>
      <c r="S2395" s="5">
        <f>(R2395/J2395)*100</f>
        <v>9.233801916932908</v>
      </c>
      <c r="V2395" s="5"/>
      <c r="W2395" s="6" t="s">
        <v>1876</v>
      </c>
    </row>
    <row r="2396" spans="1:23" x14ac:dyDescent="0.15">
      <c r="A2396" s="2" t="s">
        <v>350</v>
      </c>
      <c r="B2396" s="2" t="s">
        <v>3940</v>
      </c>
      <c r="C2396" s="2" t="s">
        <v>1043</v>
      </c>
      <c r="D2396" s="2" t="s">
        <v>403</v>
      </c>
      <c r="E2396" s="1" t="s">
        <v>1044</v>
      </c>
      <c r="F2396" s="2" t="s">
        <v>635</v>
      </c>
      <c r="G2396" s="2" t="s">
        <v>371</v>
      </c>
      <c r="H2396" s="2" t="str">
        <f t="shared" si="81"/>
        <v>W</v>
      </c>
      <c r="I2396" s="5">
        <f>EXP((LN(J2396/0.19454))/2.8203)</f>
        <v>34.759048100831684</v>
      </c>
      <c r="J2396" s="5">
        <v>4318</v>
      </c>
      <c r="K2396" s="5"/>
      <c r="L2396" s="5">
        <v>14</v>
      </c>
      <c r="M2396" s="2" t="s">
        <v>571</v>
      </c>
      <c r="N2396" s="7">
        <f>MEDIAN(24,30)</f>
        <v>27</v>
      </c>
      <c r="O2396" s="7">
        <f>MEDIAN(24,30)</f>
        <v>27</v>
      </c>
      <c r="P2396" s="5">
        <f xml:space="preserve"> 0.297*N2396 + 0.485*O2396 - 8.577</f>
        <v>12.536999999999997</v>
      </c>
      <c r="Q2396" s="2" t="s">
        <v>376</v>
      </c>
      <c r="R2396" s="5">
        <f>P2396*L2396</f>
        <v>175.51799999999997</v>
      </c>
      <c r="S2396" s="5">
        <f>(R2396/J2396)*100</f>
        <v>4.0647985178323287</v>
      </c>
      <c r="V2396" s="5"/>
      <c r="W2396" s="6" t="s">
        <v>3271</v>
      </c>
    </row>
    <row r="2397" spans="1:23" x14ac:dyDescent="0.15">
      <c r="A2397" s="2" t="s">
        <v>350</v>
      </c>
      <c r="B2397" s="2" t="s">
        <v>3940</v>
      </c>
      <c r="C2397" s="2" t="s">
        <v>1043</v>
      </c>
      <c r="D2397" s="2" t="s">
        <v>403</v>
      </c>
      <c r="E2397" s="1" t="s">
        <v>1044</v>
      </c>
      <c r="F2397" s="2" t="s">
        <v>204</v>
      </c>
      <c r="G2397" s="2">
        <v>26.7</v>
      </c>
      <c r="H2397" s="2" t="str">
        <f t="shared" si="81"/>
        <v>W</v>
      </c>
      <c r="I2397" s="5"/>
      <c r="J2397" s="5"/>
      <c r="K2397" s="5"/>
      <c r="L2397" s="5">
        <v>7</v>
      </c>
      <c r="M2397" s="2" t="s">
        <v>571</v>
      </c>
      <c r="N2397" s="5">
        <v>27.3</v>
      </c>
      <c r="O2397" s="5">
        <v>27.3</v>
      </c>
      <c r="P2397" s="5">
        <v>11</v>
      </c>
      <c r="Q2397" s="2" t="s">
        <v>18</v>
      </c>
      <c r="R2397" s="5">
        <v>77</v>
      </c>
      <c r="S2397" s="5"/>
      <c r="V2397" s="5"/>
      <c r="W2397" s="6" t="s">
        <v>3110</v>
      </c>
    </row>
    <row r="2398" spans="1:23" x14ac:dyDescent="0.15">
      <c r="A2398" s="1" t="s">
        <v>350</v>
      </c>
      <c r="B2398" s="2" t="s">
        <v>3940</v>
      </c>
      <c r="C2398" s="1" t="s">
        <v>1043</v>
      </c>
      <c r="D2398" s="1" t="s">
        <v>403</v>
      </c>
      <c r="E2398" s="1" t="s">
        <v>1044</v>
      </c>
      <c r="F2398" s="1" t="s">
        <v>3901</v>
      </c>
      <c r="G2398" s="1">
        <v>13</v>
      </c>
      <c r="H2398" s="1" t="s">
        <v>3887</v>
      </c>
      <c r="I2398" s="8">
        <v>18.2</v>
      </c>
      <c r="J2398" s="8">
        <v>945</v>
      </c>
      <c r="K2398" s="8"/>
      <c r="L2398" s="8">
        <v>5.95</v>
      </c>
      <c r="M2398" s="8" t="s">
        <v>571</v>
      </c>
      <c r="N2398" s="8">
        <v>30.2</v>
      </c>
      <c r="O2398" s="8">
        <v>30.2</v>
      </c>
      <c r="P2398" s="8">
        <v>13.21</v>
      </c>
      <c r="Q2398" s="1" t="s">
        <v>18</v>
      </c>
      <c r="R2398" s="8">
        <v>78.599999999999994</v>
      </c>
      <c r="S2398" s="8">
        <v>8.32</v>
      </c>
      <c r="T2398" s="1"/>
      <c r="U2398" s="1"/>
      <c r="V2398" s="8"/>
      <c r="W2398" s="6" t="s">
        <v>3902</v>
      </c>
    </row>
    <row r="2399" spans="1:23" x14ac:dyDescent="0.15">
      <c r="A2399" s="2" t="s">
        <v>350</v>
      </c>
      <c r="B2399" s="2" t="s">
        <v>3940</v>
      </c>
      <c r="C2399" s="2" t="s">
        <v>1043</v>
      </c>
      <c r="D2399" s="2" t="s">
        <v>403</v>
      </c>
      <c r="E2399" s="1" t="s">
        <v>1044</v>
      </c>
      <c r="F2399" s="2" t="s">
        <v>204</v>
      </c>
      <c r="G2399" s="2">
        <v>13</v>
      </c>
      <c r="H2399" s="2" t="s">
        <v>3887</v>
      </c>
      <c r="I2399" s="5">
        <v>18.2</v>
      </c>
      <c r="J2399" s="5">
        <v>945</v>
      </c>
      <c r="K2399" s="5"/>
      <c r="L2399" s="5">
        <v>5.95</v>
      </c>
      <c r="M2399" s="2" t="s">
        <v>571</v>
      </c>
      <c r="N2399" s="5">
        <v>30.2</v>
      </c>
      <c r="O2399" s="5">
        <v>30.2</v>
      </c>
      <c r="P2399" s="5">
        <v>13.21</v>
      </c>
      <c r="Q2399" s="2" t="s">
        <v>18</v>
      </c>
      <c r="R2399" s="5">
        <f>P2399*L2399</f>
        <v>78.599500000000006</v>
      </c>
      <c r="S2399" s="5">
        <f>(R2399/J2399)*100</f>
        <v>8.3174074074074085</v>
      </c>
      <c r="V2399" s="5"/>
      <c r="W2399" s="6" t="s">
        <v>2139</v>
      </c>
    </row>
    <row r="2400" spans="1:23" ht="12.75" customHeight="1" x14ac:dyDescent="0.15">
      <c r="A2400" s="2" t="s">
        <v>350</v>
      </c>
      <c r="B2400" s="2" t="s">
        <v>3940</v>
      </c>
      <c r="C2400" s="2" t="s">
        <v>1043</v>
      </c>
      <c r="D2400" s="2" t="s">
        <v>403</v>
      </c>
      <c r="E2400" s="1" t="s">
        <v>1044</v>
      </c>
      <c r="F2400" s="2" t="s">
        <v>218</v>
      </c>
      <c r="G2400" s="2">
        <v>24</v>
      </c>
      <c r="H2400" s="2" t="s">
        <v>3887</v>
      </c>
      <c r="I2400" s="5">
        <v>22.45</v>
      </c>
      <c r="J2400" s="5">
        <v>1348.4</v>
      </c>
      <c r="K2400" s="5"/>
      <c r="L2400" s="7">
        <f>MEDIAN(2,14)</f>
        <v>8</v>
      </c>
      <c r="M2400" s="2" t="s">
        <v>571</v>
      </c>
      <c r="N2400" s="7">
        <v>26</v>
      </c>
      <c r="O2400" s="7">
        <v>26</v>
      </c>
      <c r="P2400" s="5">
        <v>14.75</v>
      </c>
      <c r="Q2400" s="2" t="s">
        <v>18</v>
      </c>
      <c r="R2400" s="5">
        <f>P2400*L2400</f>
        <v>118</v>
      </c>
      <c r="S2400" s="5">
        <f>(R2400/J2400)*100</f>
        <v>8.7511124295461276</v>
      </c>
      <c r="T2400" s="2" t="s">
        <v>2296</v>
      </c>
      <c r="U2400" s="40" t="s">
        <v>395</v>
      </c>
      <c r="V2400" s="5"/>
      <c r="W2400" s="6" t="s">
        <v>2536</v>
      </c>
    </row>
    <row r="2401" spans="1:39" x14ac:dyDescent="0.15">
      <c r="A2401" s="2" t="s">
        <v>350</v>
      </c>
      <c r="B2401" s="2" t="s">
        <v>3940</v>
      </c>
      <c r="C2401" s="2" t="s">
        <v>1043</v>
      </c>
      <c r="D2401" s="2" t="s">
        <v>403</v>
      </c>
      <c r="E2401" s="1" t="s">
        <v>1044</v>
      </c>
      <c r="F2401" s="2" t="s">
        <v>218</v>
      </c>
      <c r="G2401" s="2">
        <v>23</v>
      </c>
      <c r="H2401" s="2" t="s">
        <v>3887</v>
      </c>
      <c r="I2401" s="5">
        <f>EXP((LN(J2401/0.19454))/2.8203)</f>
        <v>23.318989060246313</v>
      </c>
      <c r="J2401" s="5">
        <v>1400.75</v>
      </c>
      <c r="K2401" s="5">
        <v>3</v>
      </c>
      <c r="L2401" s="7">
        <v>14</v>
      </c>
      <c r="M2401" s="7" t="s">
        <v>571</v>
      </c>
      <c r="N2401" s="7">
        <v>25.23</v>
      </c>
      <c r="O2401" s="5">
        <v>25.23</v>
      </c>
      <c r="P2401" s="5">
        <v>11.26</v>
      </c>
      <c r="Q2401" s="2" t="s">
        <v>18</v>
      </c>
      <c r="R2401" s="5">
        <v>157.63999999999999</v>
      </c>
      <c r="S2401" s="5">
        <v>11.25</v>
      </c>
      <c r="T2401" s="5">
        <v>3</v>
      </c>
      <c r="U2401" s="2" t="str">
        <f>IF(T2401&lt;=1, "1",IF(AND(T2401&gt;1,T2401&lt;4), "2-3", "+4"))</f>
        <v>2-3</v>
      </c>
      <c r="V2401" s="5">
        <f>S2401*T2401</f>
        <v>33.75</v>
      </c>
      <c r="W2401" s="6" t="s">
        <v>2555</v>
      </c>
    </row>
    <row r="2402" spans="1:39" ht="12.75" customHeight="1" x14ac:dyDescent="0.15">
      <c r="A2402" s="2" t="s">
        <v>350</v>
      </c>
      <c r="B2402" s="2" t="s">
        <v>3940</v>
      </c>
      <c r="C2402" s="2" t="s">
        <v>1043</v>
      </c>
      <c r="D2402" s="2" t="s">
        <v>403</v>
      </c>
      <c r="E2402" s="1" t="s">
        <v>1044</v>
      </c>
      <c r="F2402" s="2" t="s">
        <v>374</v>
      </c>
      <c r="G2402" s="2" t="s">
        <v>374</v>
      </c>
      <c r="H2402" s="2" t="str">
        <f t="shared" ref="H2402:H2418" si="82">IF(G2402="captive","C","W")</f>
        <v>C</v>
      </c>
      <c r="I2402" s="5"/>
      <c r="J2402" s="5"/>
      <c r="K2402" s="5"/>
      <c r="L2402" s="5">
        <v>4</v>
      </c>
      <c r="M2402" s="2" t="s">
        <v>571</v>
      </c>
      <c r="N2402" s="5">
        <v>27</v>
      </c>
      <c r="O2402" s="5">
        <v>26.2</v>
      </c>
      <c r="P2402" s="5">
        <v>15</v>
      </c>
      <c r="Q2402" s="2" t="s">
        <v>18</v>
      </c>
      <c r="R2402" s="5">
        <v>60</v>
      </c>
      <c r="S2402" s="5"/>
      <c r="T2402" s="7">
        <f>MEDIAN(2,3)</f>
        <v>2.5</v>
      </c>
      <c r="U2402" s="2" t="str">
        <f>IF(T2402&lt;=1, "1",IF(AND(T2402&gt;1,T2402&lt;4), "2-3", "+4"))</f>
        <v>2-3</v>
      </c>
      <c r="V2402" s="5"/>
      <c r="W2402" s="6" t="s">
        <v>2554</v>
      </c>
    </row>
    <row r="2403" spans="1:39" x14ac:dyDescent="0.15">
      <c r="A2403" s="2" t="s">
        <v>350</v>
      </c>
      <c r="B2403" s="2" t="s">
        <v>3940</v>
      </c>
      <c r="C2403" s="2" t="s">
        <v>1043</v>
      </c>
      <c r="D2403" s="2" t="s">
        <v>403</v>
      </c>
      <c r="E2403" s="1" t="s">
        <v>1044</v>
      </c>
      <c r="F2403" s="2" t="s">
        <v>374</v>
      </c>
      <c r="G2403" s="2" t="s">
        <v>374</v>
      </c>
      <c r="H2403" s="2" t="str">
        <f t="shared" si="82"/>
        <v>C</v>
      </c>
      <c r="I2403" s="5"/>
      <c r="J2403" s="5"/>
      <c r="K2403" s="5"/>
      <c r="L2403" s="5">
        <v>3.33</v>
      </c>
      <c r="M2403" s="2" t="s">
        <v>571</v>
      </c>
      <c r="N2403" s="5"/>
      <c r="O2403" s="5"/>
      <c r="P2403" s="5"/>
      <c r="R2403" s="5"/>
      <c r="S2403" s="5"/>
      <c r="T2403" s="2" t="s">
        <v>524</v>
      </c>
      <c r="U2403" s="40" t="s">
        <v>395</v>
      </c>
      <c r="V2403" s="5"/>
      <c r="W2403" s="6" t="s">
        <v>3305</v>
      </c>
    </row>
    <row r="2404" spans="1:39" ht="12.75" customHeight="1" x14ac:dyDescent="0.15">
      <c r="A2404" s="2" t="s">
        <v>350</v>
      </c>
      <c r="B2404" s="2" t="s">
        <v>3940</v>
      </c>
      <c r="C2404" s="2" t="s">
        <v>1043</v>
      </c>
      <c r="D2404" s="2" t="s">
        <v>403</v>
      </c>
      <c r="E2404" s="1" t="s">
        <v>1044</v>
      </c>
      <c r="F2404" s="2" t="s">
        <v>2956</v>
      </c>
      <c r="H2404" s="2" t="s">
        <v>3887</v>
      </c>
      <c r="I2404" s="5"/>
      <c r="J2404" s="5"/>
      <c r="K2404" s="5"/>
      <c r="L2404" s="7">
        <f>MEDIAN(10,12)</f>
        <v>11</v>
      </c>
      <c r="M2404" s="2" t="s">
        <v>571</v>
      </c>
      <c r="N2404" s="5">
        <f>MEDIAN(30,33)</f>
        <v>31.5</v>
      </c>
      <c r="O2404" s="5"/>
      <c r="P2404" s="5"/>
      <c r="R2404" s="5"/>
      <c r="S2404" s="5"/>
      <c r="V2404" s="5"/>
      <c r="W2404" s="6" t="s">
        <v>2975</v>
      </c>
    </row>
    <row r="2405" spans="1:39" ht="12.75" customHeight="1" x14ac:dyDescent="0.15">
      <c r="A2405" s="2" t="s">
        <v>350</v>
      </c>
      <c r="B2405" s="2" t="s">
        <v>3940</v>
      </c>
      <c r="C2405" s="2" t="s">
        <v>1043</v>
      </c>
      <c r="D2405" s="2" t="s">
        <v>403</v>
      </c>
      <c r="E2405" s="1" t="s">
        <v>1044</v>
      </c>
      <c r="F2405" s="2" t="s">
        <v>466</v>
      </c>
      <c r="G2405" s="2">
        <v>12.99</v>
      </c>
      <c r="H2405" s="2" t="str">
        <f t="shared" si="82"/>
        <v>W</v>
      </c>
      <c r="I2405" s="5"/>
      <c r="J2405" s="5"/>
      <c r="K2405" s="5"/>
      <c r="L2405" s="5">
        <v>8</v>
      </c>
      <c r="M2405" s="5" t="s">
        <v>571</v>
      </c>
      <c r="N2405" s="5">
        <v>26.55</v>
      </c>
      <c r="O2405" s="5">
        <v>26.55</v>
      </c>
      <c r="P2405" s="5">
        <v>11.5</v>
      </c>
      <c r="Q2405" s="2" t="s">
        <v>18</v>
      </c>
      <c r="R2405" s="5">
        <v>92</v>
      </c>
      <c r="S2405" s="5"/>
      <c r="V2405" s="5"/>
      <c r="W2405" s="6" t="s">
        <v>2556</v>
      </c>
    </row>
    <row r="2406" spans="1:39" ht="12.75" customHeight="1" x14ac:dyDescent="0.15">
      <c r="A2406" s="2" t="s">
        <v>350</v>
      </c>
      <c r="B2406" s="2" t="s">
        <v>3940</v>
      </c>
      <c r="C2406" s="2" t="s">
        <v>1043</v>
      </c>
      <c r="D2406" s="2" t="s">
        <v>403</v>
      </c>
      <c r="E2406" s="1" t="s">
        <v>1044</v>
      </c>
      <c r="F2406" s="2" t="s">
        <v>3868</v>
      </c>
      <c r="G2406" s="2" t="s">
        <v>374</v>
      </c>
      <c r="H2406" s="2" t="str">
        <f t="shared" si="82"/>
        <v>C</v>
      </c>
      <c r="I2406" s="5"/>
      <c r="J2406" s="5"/>
      <c r="K2406" s="5"/>
      <c r="L2406" s="5">
        <v>11.43</v>
      </c>
      <c r="M2406" s="5" t="s">
        <v>571</v>
      </c>
      <c r="N2406" s="5">
        <v>27.4</v>
      </c>
      <c r="O2406" s="5">
        <v>26.96</v>
      </c>
      <c r="P2406" s="5">
        <v>11.98</v>
      </c>
      <c r="Q2406" s="2" t="s">
        <v>18</v>
      </c>
      <c r="R2406" s="5">
        <v>136.91</v>
      </c>
      <c r="S2406" s="5"/>
      <c r="V2406" s="5"/>
      <c r="W2406" s="6" t="s">
        <v>2558</v>
      </c>
    </row>
    <row r="2407" spans="1:39" ht="12.75" customHeight="1" x14ac:dyDescent="0.15">
      <c r="A2407" s="2" t="s">
        <v>350</v>
      </c>
      <c r="B2407" s="2" t="s">
        <v>3940</v>
      </c>
      <c r="C2407" s="2" t="s">
        <v>1043</v>
      </c>
      <c r="D2407" s="2" t="s">
        <v>403</v>
      </c>
      <c r="E2407" s="1" t="s">
        <v>1044</v>
      </c>
      <c r="F2407" s="2" t="s">
        <v>555</v>
      </c>
      <c r="G2407" s="2">
        <v>26</v>
      </c>
      <c r="H2407" s="2" t="str">
        <f t="shared" si="82"/>
        <v>W</v>
      </c>
      <c r="I2407" s="5">
        <v>21.7</v>
      </c>
      <c r="J2407" s="5">
        <v>1183.7</v>
      </c>
      <c r="K2407" s="5"/>
      <c r="L2407" s="5">
        <v>8.125</v>
      </c>
      <c r="M2407" s="5" t="s">
        <v>571</v>
      </c>
      <c r="N2407" s="5"/>
      <c r="O2407" s="5">
        <v>24.11</v>
      </c>
      <c r="P2407" s="5">
        <v>11.14</v>
      </c>
      <c r="Q2407" s="2" t="s">
        <v>376</v>
      </c>
      <c r="R2407" s="5">
        <v>90.54</v>
      </c>
      <c r="S2407" s="5">
        <v>7.65</v>
      </c>
      <c r="V2407" s="5"/>
      <c r="W2407" s="6" t="s">
        <v>2557</v>
      </c>
    </row>
    <row r="2408" spans="1:39" x14ac:dyDescent="0.15">
      <c r="A2408" s="2" t="s">
        <v>350</v>
      </c>
      <c r="B2408" s="2" t="s">
        <v>3940</v>
      </c>
      <c r="C2408" s="2" t="s">
        <v>1043</v>
      </c>
      <c r="D2408" s="2" t="s">
        <v>825</v>
      </c>
      <c r="E2408" s="1"/>
      <c r="F2408" s="2" t="s">
        <v>438</v>
      </c>
      <c r="G2408" s="2" t="s">
        <v>374</v>
      </c>
      <c r="H2408" s="2" t="str">
        <f t="shared" si="82"/>
        <v>C</v>
      </c>
      <c r="I2408" s="5">
        <v>21.2</v>
      </c>
      <c r="J2408" s="5">
        <v>490</v>
      </c>
      <c r="K2408" s="5"/>
      <c r="L2408" s="5">
        <v>3</v>
      </c>
      <c r="M2408" s="2" t="s">
        <v>571</v>
      </c>
      <c r="N2408" s="5"/>
      <c r="O2408" s="5"/>
      <c r="P2408" s="5"/>
      <c r="R2408" s="5"/>
      <c r="S2408" s="5"/>
      <c r="T2408" s="5">
        <f>MEDIAN(1,2)</f>
        <v>1.5</v>
      </c>
      <c r="U2408" s="2" t="str">
        <f>IF(T2408&lt;=1, "1",IF(AND(T2408&gt;1,T2408&lt;4), "2-3", "+4"))</f>
        <v>2-3</v>
      </c>
      <c r="V2408" s="5"/>
      <c r="W2408" s="6" t="s">
        <v>3605</v>
      </c>
    </row>
    <row r="2409" spans="1:39" x14ac:dyDescent="0.15">
      <c r="A2409" s="2" t="s">
        <v>350</v>
      </c>
      <c r="B2409" s="2" t="s">
        <v>3941</v>
      </c>
      <c r="C2409" s="2" t="s">
        <v>1047</v>
      </c>
      <c r="D2409" s="2" t="s">
        <v>826</v>
      </c>
      <c r="E2409" s="1"/>
      <c r="F2409" s="2" t="s">
        <v>29</v>
      </c>
      <c r="H2409" s="2" t="s">
        <v>3887</v>
      </c>
      <c r="I2409" s="5"/>
      <c r="J2409" s="5"/>
      <c r="K2409" s="5"/>
      <c r="L2409" s="5"/>
      <c r="M2409" s="2" t="s">
        <v>571</v>
      </c>
      <c r="N2409" s="5"/>
      <c r="O2409" s="5"/>
      <c r="P2409" s="5"/>
      <c r="R2409" s="5"/>
      <c r="S2409" s="5"/>
      <c r="V2409" s="5"/>
      <c r="W2409" s="6" t="s">
        <v>838</v>
      </c>
    </row>
    <row r="2410" spans="1:39" x14ac:dyDescent="0.15">
      <c r="A2410" s="2" t="s">
        <v>350</v>
      </c>
      <c r="B2410" s="2" t="s">
        <v>3941</v>
      </c>
      <c r="C2410" s="2" t="s">
        <v>1047</v>
      </c>
      <c r="D2410" s="2" t="s">
        <v>400</v>
      </c>
      <c r="E2410" s="1"/>
      <c r="F2410" s="2" t="s">
        <v>649</v>
      </c>
      <c r="G2410" s="2">
        <v>20.399999999999999</v>
      </c>
      <c r="H2410" s="2" t="str">
        <f t="shared" si="82"/>
        <v>W</v>
      </c>
      <c r="I2410" s="5">
        <v>51</v>
      </c>
      <c r="J2410" s="5">
        <v>14600</v>
      </c>
      <c r="K2410" s="5"/>
      <c r="L2410" s="5"/>
      <c r="M2410" s="5" t="s">
        <v>571</v>
      </c>
      <c r="N2410" s="5">
        <v>31.5</v>
      </c>
      <c r="O2410" s="5">
        <v>31.5</v>
      </c>
      <c r="P2410" s="5">
        <v>22.85</v>
      </c>
      <c r="Q2410" s="2" t="s">
        <v>18</v>
      </c>
      <c r="R2410" s="5"/>
      <c r="S2410" s="5"/>
      <c r="T2410" s="5"/>
      <c r="U2410" s="5"/>
      <c r="V2410" s="5"/>
      <c r="W2410" s="6" t="s">
        <v>2548</v>
      </c>
    </row>
    <row r="2411" spans="1:39" ht="12.75" customHeight="1" x14ac:dyDescent="0.15">
      <c r="A2411" s="2" t="s">
        <v>350</v>
      </c>
      <c r="B2411" s="2" t="s">
        <v>3941</v>
      </c>
      <c r="C2411" s="2" t="s">
        <v>1047</v>
      </c>
      <c r="D2411" s="2" t="s">
        <v>400</v>
      </c>
      <c r="E2411" s="1"/>
      <c r="F2411" s="2" t="s">
        <v>355</v>
      </c>
      <c r="G2411" s="2">
        <v>23</v>
      </c>
      <c r="H2411" s="2" t="str">
        <f t="shared" si="82"/>
        <v>W</v>
      </c>
      <c r="I2411" s="5">
        <v>67.5</v>
      </c>
      <c r="J2411" s="5">
        <v>19000</v>
      </c>
      <c r="K2411" s="5"/>
      <c r="L2411" s="5">
        <v>30.2</v>
      </c>
      <c r="M2411" s="2" t="s">
        <v>571</v>
      </c>
      <c r="N2411" s="5">
        <v>33.9</v>
      </c>
      <c r="O2411" s="5">
        <v>33.9</v>
      </c>
      <c r="P2411" s="5">
        <v>25.3</v>
      </c>
      <c r="Q2411" s="2" t="s">
        <v>18</v>
      </c>
      <c r="R2411" s="5">
        <f>P2411*L2411</f>
        <v>764.06000000000006</v>
      </c>
      <c r="S2411" s="5">
        <f>(R2411/J2411)*100</f>
        <v>4.0213684210526317</v>
      </c>
      <c r="V2411" s="5"/>
      <c r="W2411" s="6" t="s">
        <v>3609</v>
      </c>
    </row>
    <row r="2412" spans="1:39" x14ac:dyDescent="0.15">
      <c r="A2412" s="2" t="s">
        <v>350</v>
      </c>
      <c r="B2412" s="2" t="s">
        <v>3941</v>
      </c>
      <c r="C2412" s="2" t="s">
        <v>1047</v>
      </c>
      <c r="D2412" s="2" t="s">
        <v>400</v>
      </c>
      <c r="E2412" s="1"/>
      <c r="F2412" s="2" t="s">
        <v>218</v>
      </c>
      <c r="G2412" s="2">
        <v>24</v>
      </c>
      <c r="H2412" s="2" t="str">
        <f t="shared" si="82"/>
        <v>W</v>
      </c>
      <c r="I2412" s="5">
        <v>66.239999999999995</v>
      </c>
      <c r="J2412" s="5">
        <v>26360</v>
      </c>
      <c r="K2412" s="5"/>
      <c r="L2412" s="5"/>
      <c r="M2412" s="2" t="s">
        <v>571</v>
      </c>
      <c r="N2412" s="5">
        <v>31.03</v>
      </c>
      <c r="O2412" s="5">
        <v>31.03</v>
      </c>
      <c r="P2412" s="5">
        <v>15.23</v>
      </c>
      <c r="Q2412" s="2" t="s">
        <v>18</v>
      </c>
      <c r="R2412" s="5"/>
      <c r="S2412" s="5"/>
      <c r="T2412" s="2" t="s">
        <v>2296</v>
      </c>
      <c r="U2412" s="40" t="s">
        <v>395</v>
      </c>
      <c r="V2412" s="5"/>
      <c r="W2412" s="6" t="s">
        <v>2536</v>
      </c>
      <c r="AM2412" s="29"/>
    </row>
    <row r="2413" spans="1:39" ht="12.75" customHeight="1" x14ac:dyDescent="0.15">
      <c r="A2413" s="2" t="s">
        <v>350</v>
      </c>
      <c r="B2413" s="2" t="s">
        <v>3941</v>
      </c>
      <c r="C2413" s="2" t="s">
        <v>1047</v>
      </c>
      <c r="D2413" s="2" t="s">
        <v>400</v>
      </c>
      <c r="E2413" s="1"/>
      <c r="F2413" s="2" t="s">
        <v>648</v>
      </c>
      <c r="G2413" s="2">
        <v>26.8</v>
      </c>
      <c r="H2413" s="2" t="str">
        <f t="shared" si="82"/>
        <v>W</v>
      </c>
      <c r="I2413" s="5"/>
      <c r="J2413" s="5"/>
      <c r="K2413" s="5"/>
      <c r="L2413" s="5">
        <v>19.2</v>
      </c>
      <c r="M2413" s="5" t="s">
        <v>571</v>
      </c>
      <c r="N2413" s="5">
        <v>31</v>
      </c>
      <c r="O2413" s="5">
        <v>31</v>
      </c>
      <c r="P2413" s="5">
        <f xml:space="preserve"> (0.158*N2413) + (1.228*O2413) - 23.513</f>
        <v>19.452999999999992</v>
      </c>
      <c r="Q2413" s="2" t="s">
        <v>376</v>
      </c>
      <c r="R2413" s="5">
        <f>P2413*L2413</f>
        <v>373.49759999999986</v>
      </c>
      <c r="S2413" s="5"/>
      <c r="T2413" s="5" t="s">
        <v>495</v>
      </c>
      <c r="U2413" s="40" t="s">
        <v>395</v>
      </c>
      <c r="V2413" s="5"/>
      <c r="W2413" s="6" t="s">
        <v>2550</v>
      </c>
      <c r="AM2413" s="29"/>
    </row>
    <row r="2414" spans="1:39" x14ac:dyDescent="0.15">
      <c r="A2414" s="2" t="s">
        <v>350</v>
      </c>
      <c r="B2414" s="2" t="s">
        <v>3941</v>
      </c>
      <c r="C2414" s="2" t="s">
        <v>1047</v>
      </c>
      <c r="D2414" s="2" t="s">
        <v>400</v>
      </c>
      <c r="E2414" s="1"/>
      <c r="F2414" s="2" t="s">
        <v>401</v>
      </c>
      <c r="G2414" s="2" t="s">
        <v>374</v>
      </c>
      <c r="H2414" s="2" t="str">
        <f t="shared" si="82"/>
        <v>C</v>
      </c>
      <c r="I2414" s="5"/>
      <c r="J2414" s="5"/>
      <c r="K2414" s="7">
        <f>MEDIAN(9,10)</f>
        <v>9.5</v>
      </c>
      <c r="L2414" s="5"/>
      <c r="M2414" s="5" t="s">
        <v>571</v>
      </c>
      <c r="N2414" s="5"/>
      <c r="O2414" s="5"/>
      <c r="P2414" s="5"/>
      <c r="R2414" s="5"/>
      <c r="S2414" s="5"/>
      <c r="V2414" s="5"/>
      <c r="W2414" s="6" t="s">
        <v>2552</v>
      </c>
      <c r="AM2414" s="29"/>
    </row>
    <row r="2415" spans="1:39" ht="12.75" customHeight="1" x14ac:dyDescent="0.15">
      <c r="A2415" s="2" t="s">
        <v>350</v>
      </c>
      <c r="B2415" s="2" t="s">
        <v>3941</v>
      </c>
      <c r="C2415" s="2" t="s">
        <v>1047</v>
      </c>
      <c r="D2415" s="2" t="s">
        <v>400</v>
      </c>
      <c r="E2415" s="1"/>
      <c r="F2415" s="2" t="s">
        <v>3868</v>
      </c>
      <c r="G2415" s="2" t="s">
        <v>374</v>
      </c>
      <c r="H2415" s="2" t="str">
        <f t="shared" si="82"/>
        <v>C</v>
      </c>
      <c r="I2415" s="5">
        <v>43</v>
      </c>
      <c r="J2415" s="5">
        <f xml:space="preserve"> 2.2356*I2415^2.2487</f>
        <v>10533.546505578835</v>
      </c>
      <c r="K2415" s="5"/>
      <c r="L2415" s="5">
        <v>13</v>
      </c>
      <c r="M2415" s="5" t="s">
        <v>571</v>
      </c>
      <c r="N2415" s="5">
        <v>33.4</v>
      </c>
      <c r="O2415" s="5">
        <v>32.799999999999997</v>
      </c>
      <c r="P2415" s="5">
        <v>12.8</v>
      </c>
      <c r="Q2415" s="2" t="s">
        <v>18</v>
      </c>
      <c r="R2415" s="5">
        <v>166.4</v>
      </c>
      <c r="S2415" s="5">
        <f>(R2415/J2415)*100</f>
        <v>1.5797148653767306</v>
      </c>
      <c r="V2415" s="5"/>
      <c r="W2415" s="6" t="s">
        <v>2551</v>
      </c>
      <c r="AM2415" s="29"/>
    </row>
    <row r="2416" spans="1:39" ht="12.75" customHeight="1" x14ac:dyDescent="0.15">
      <c r="A2416" s="2" t="s">
        <v>350</v>
      </c>
      <c r="B2416" s="2" t="s">
        <v>3941</v>
      </c>
      <c r="C2416" s="2" t="s">
        <v>1047</v>
      </c>
      <c r="D2416" s="2" t="s">
        <v>400</v>
      </c>
      <c r="E2416" s="1"/>
      <c r="F2416" s="2" t="s">
        <v>374</v>
      </c>
      <c r="G2416" s="2" t="s">
        <v>374</v>
      </c>
      <c r="H2416" s="2" t="str">
        <f t="shared" si="82"/>
        <v>C</v>
      </c>
      <c r="I2416" s="5">
        <v>59.02</v>
      </c>
      <c r="J2416" s="5">
        <v>22942</v>
      </c>
      <c r="K2416" s="5"/>
      <c r="L2416" s="5">
        <v>17.899999999999999</v>
      </c>
      <c r="M2416" s="5" t="s">
        <v>571</v>
      </c>
      <c r="N2416" s="5">
        <v>30.6</v>
      </c>
      <c r="O2416" s="5">
        <v>30.2</v>
      </c>
      <c r="P2416" s="5">
        <v>16.850000000000001</v>
      </c>
      <c r="Q2416" s="2" t="s">
        <v>18</v>
      </c>
      <c r="R2416" s="5">
        <v>294.39</v>
      </c>
      <c r="S2416" s="5">
        <v>2.02</v>
      </c>
      <c r="T2416" s="5"/>
      <c r="U2416" s="5"/>
      <c r="V2416" s="5"/>
      <c r="W2416" s="6" t="s">
        <v>2549</v>
      </c>
      <c r="AM2416" s="29"/>
    </row>
    <row r="2417" spans="1:58" ht="12.75" customHeight="1" x14ac:dyDescent="0.15">
      <c r="A2417" s="2" t="s">
        <v>350</v>
      </c>
      <c r="B2417" s="2" t="s">
        <v>3941</v>
      </c>
      <c r="C2417" s="2" t="s">
        <v>1047</v>
      </c>
      <c r="D2417" s="2" t="s">
        <v>827</v>
      </c>
      <c r="E2417" s="1"/>
      <c r="F2417" s="2" t="s">
        <v>218</v>
      </c>
      <c r="G2417" s="2">
        <v>24</v>
      </c>
      <c r="H2417" s="2" t="s">
        <v>3887</v>
      </c>
      <c r="I2417" s="5">
        <v>34.200000000000003</v>
      </c>
      <c r="J2417" s="5">
        <v>4890</v>
      </c>
      <c r="K2417" s="5"/>
      <c r="L2417" s="5">
        <v>27</v>
      </c>
      <c r="M2417" s="2" t="s">
        <v>571</v>
      </c>
      <c r="N2417" s="5">
        <v>27.97</v>
      </c>
      <c r="O2417" s="5">
        <v>27.97</v>
      </c>
      <c r="P2417" s="5">
        <v>15.04</v>
      </c>
      <c r="Q2417" s="2" t="s">
        <v>18</v>
      </c>
      <c r="R2417" s="5">
        <v>406.08</v>
      </c>
      <c r="S2417" s="5">
        <v>8.3000000000000007</v>
      </c>
      <c r="T2417" s="2" t="s">
        <v>2296</v>
      </c>
      <c r="U2417" s="40" t="s">
        <v>395</v>
      </c>
      <c r="V2417" s="5"/>
      <c r="W2417" s="6" t="s">
        <v>2536</v>
      </c>
      <c r="AM2417" s="29"/>
    </row>
    <row r="2418" spans="1:58" ht="12.75" customHeight="1" x14ac:dyDescent="0.15">
      <c r="A2418" s="2" t="s">
        <v>350</v>
      </c>
      <c r="B2418" s="2" t="s">
        <v>3941</v>
      </c>
      <c r="C2418" s="2" t="s">
        <v>1047</v>
      </c>
      <c r="D2418" s="2" t="s">
        <v>828</v>
      </c>
      <c r="E2418" s="1"/>
      <c r="F2418" s="2" t="s">
        <v>591</v>
      </c>
      <c r="G2418" s="2">
        <v>21.79</v>
      </c>
      <c r="H2418" s="2" t="str">
        <f t="shared" si="82"/>
        <v>W</v>
      </c>
      <c r="I2418" s="5">
        <v>50.375</v>
      </c>
      <c r="J2418" s="5">
        <v>11950</v>
      </c>
      <c r="K2418" s="5"/>
      <c r="L2418" s="5"/>
      <c r="M2418" s="5" t="s">
        <v>571</v>
      </c>
      <c r="N2418" s="5"/>
      <c r="O2418" s="5"/>
      <c r="P2418" s="5"/>
      <c r="R2418" s="5"/>
      <c r="S2418" s="5"/>
      <c r="T2418" s="5"/>
      <c r="U2418" s="5"/>
      <c r="V2418" s="5"/>
      <c r="W2418" s="6" t="s">
        <v>2548</v>
      </c>
      <c r="AM2418" s="29"/>
    </row>
    <row r="2419" spans="1:58" x14ac:dyDescent="0.15">
      <c r="A2419" s="2" t="s">
        <v>350</v>
      </c>
      <c r="B2419" s="2" t="s">
        <v>3941</v>
      </c>
      <c r="C2419" s="2" t="s">
        <v>1047</v>
      </c>
      <c r="D2419" s="2" t="s">
        <v>829</v>
      </c>
      <c r="E2419" s="1"/>
      <c r="I2419" s="5"/>
      <c r="J2419" s="5"/>
      <c r="K2419" s="5">
        <v>8.5</v>
      </c>
      <c r="L2419" s="5"/>
      <c r="M2419" s="2" t="s">
        <v>571</v>
      </c>
      <c r="N2419" s="5"/>
      <c r="O2419" s="5"/>
      <c r="P2419" s="5"/>
      <c r="R2419" s="5"/>
      <c r="S2419" s="5"/>
      <c r="V2419" s="5"/>
      <c r="W2419" s="6" t="s">
        <v>4057</v>
      </c>
      <c r="AM2419" s="29"/>
    </row>
    <row r="2420" spans="1:58" x14ac:dyDescent="0.15">
      <c r="A2420" s="2" t="s">
        <v>350</v>
      </c>
      <c r="B2420" s="2" t="s">
        <v>3941</v>
      </c>
      <c r="C2420" s="2" t="s">
        <v>1047</v>
      </c>
      <c r="D2420" s="2" t="s">
        <v>829</v>
      </c>
      <c r="E2420" s="1"/>
      <c r="F2420" s="2" t="s">
        <v>218</v>
      </c>
      <c r="G2420" s="2">
        <v>22.39</v>
      </c>
      <c r="H2420" s="2" t="str">
        <f t="shared" ref="H2420:H2426" si="83">IF(G2420="captive","C","W")</f>
        <v>W</v>
      </c>
      <c r="I2420" s="5"/>
      <c r="J2420" s="5"/>
      <c r="K2420" s="5"/>
      <c r="L2420" s="7">
        <f>MEDIAN(10,38)</f>
        <v>24</v>
      </c>
      <c r="M2420" s="2" t="s">
        <v>571</v>
      </c>
      <c r="N2420" s="5">
        <f>MEDIAN(32.4,36.3)</f>
        <v>34.349999999999994</v>
      </c>
      <c r="O2420" s="5"/>
      <c r="P2420" s="5"/>
      <c r="R2420" s="5"/>
      <c r="S2420" s="5"/>
      <c r="V2420" s="5"/>
      <c r="W2420" s="6" t="s">
        <v>3276</v>
      </c>
      <c r="AM2420" s="29"/>
    </row>
    <row r="2421" spans="1:58" x14ac:dyDescent="0.15">
      <c r="A2421" s="2" t="s">
        <v>350</v>
      </c>
      <c r="B2421" s="2" t="s">
        <v>3941</v>
      </c>
      <c r="C2421" s="2" t="s">
        <v>1047</v>
      </c>
      <c r="D2421" s="2" t="s">
        <v>829</v>
      </c>
      <c r="E2421" s="1"/>
      <c r="F2421" s="2" t="s">
        <v>218</v>
      </c>
      <c r="G2421" s="2">
        <v>22.39</v>
      </c>
      <c r="H2421" s="2" t="str">
        <f t="shared" si="83"/>
        <v>W</v>
      </c>
      <c r="I2421" s="5">
        <v>48.2</v>
      </c>
      <c r="J2421" s="5">
        <v>12600</v>
      </c>
      <c r="K2421" s="5"/>
      <c r="L2421" s="5">
        <v>20.2</v>
      </c>
      <c r="M2421" s="5" t="s">
        <v>571</v>
      </c>
      <c r="N2421" s="5">
        <v>34</v>
      </c>
      <c r="O2421" s="5">
        <v>34</v>
      </c>
      <c r="P2421" s="5">
        <v>24.5</v>
      </c>
      <c r="Q2421" s="2" t="s">
        <v>18</v>
      </c>
      <c r="R2421" s="5">
        <f>P2421*L2421</f>
        <v>494.9</v>
      </c>
      <c r="S2421" s="5">
        <f>(R2421/J2421)*100</f>
        <v>3.9277777777777771</v>
      </c>
      <c r="T2421" s="5"/>
      <c r="U2421" s="5"/>
      <c r="V2421" s="5"/>
      <c r="W2421" s="6" t="s">
        <v>3922</v>
      </c>
      <c r="AM2421" s="29"/>
    </row>
    <row r="2422" spans="1:58" x14ac:dyDescent="0.15">
      <c r="A2422" s="2" t="s">
        <v>350</v>
      </c>
      <c r="B2422" s="2" t="s">
        <v>3941</v>
      </c>
      <c r="C2422" s="2" t="s">
        <v>1047</v>
      </c>
      <c r="D2422" s="2" t="s">
        <v>829</v>
      </c>
      <c r="E2422" s="1"/>
      <c r="F2422" s="2" t="s">
        <v>356</v>
      </c>
      <c r="G2422" s="2">
        <v>22.39</v>
      </c>
      <c r="H2422" s="2" t="str">
        <f t="shared" si="83"/>
        <v>W</v>
      </c>
      <c r="I2422" s="5">
        <v>43.6</v>
      </c>
      <c r="J2422" s="5">
        <f xml:space="preserve"> 2.2356*I2422^2.2487</f>
        <v>10866.942506700028</v>
      </c>
      <c r="K2422" s="5"/>
      <c r="L2422" s="5">
        <v>20.2</v>
      </c>
      <c r="M2422" s="2" t="s">
        <v>571</v>
      </c>
      <c r="N2422" s="5">
        <v>34.9</v>
      </c>
      <c r="O2422" s="5">
        <v>34.9</v>
      </c>
      <c r="P2422" s="5">
        <v>26</v>
      </c>
      <c r="Q2422" s="2" t="s">
        <v>18</v>
      </c>
      <c r="R2422" s="5">
        <v>525.20000000000005</v>
      </c>
      <c r="S2422" s="5">
        <f>(R2422/J2422)*100</f>
        <v>4.8330061530755986</v>
      </c>
      <c r="V2422" s="5"/>
      <c r="W2422" s="6" t="s">
        <v>1880</v>
      </c>
      <c r="AM2422" s="29"/>
    </row>
    <row r="2423" spans="1:58" x14ac:dyDescent="0.15">
      <c r="A2423" s="2" t="s">
        <v>350</v>
      </c>
      <c r="B2423" s="2" t="s">
        <v>3941</v>
      </c>
      <c r="C2423" s="2" t="s">
        <v>1047</v>
      </c>
      <c r="D2423" s="2" t="s">
        <v>829</v>
      </c>
      <c r="E2423" s="1"/>
      <c r="F2423" s="2" t="s">
        <v>218</v>
      </c>
      <c r="G2423" s="2">
        <v>22.39</v>
      </c>
      <c r="H2423" s="2" t="str">
        <f t="shared" si="83"/>
        <v>W</v>
      </c>
      <c r="I2423" s="5">
        <v>53.64</v>
      </c>
      <c r="J2423" s="5">
        <f xml:space="preserve"> 2.2356*I2423^2.2487</f>
        <v>17317.910713125642</v>
      </c>
      <c r="K2423" s="5"/>
      <c r="L2423" s="5">
        <v>20.2</v>
      </c>
      <c r="M2423" s="2" t="s">
        <v>571</v>
      </c>
      <c r="N2423" s="5"/>
      <c r="O2423" s="5"/>
      <c r="P2423" s="5"/>
      <c r="R2423" s="5"/>
      <c r="S2423" s="5"/>
      <c r="V2423" s="5"/>
      <c r="W2423" s="6" t="s">
        <v>2536</v>
      </c>
      <c r="AM2423" s="29"/>
    </row>
    <row r="2424" spans="1:58" x14ac:dyDescent="0.15">
      <c r="A2424" s="2" t="s">
        <v>350</v>
      </c>
      <c r="B2424" s="2" t="s">
        <v>3941</v>
      </c>
      <c r="C2424" s="2" t="s">
        <v>1047</v>
      </c>
      <c r="D2424" s="2" t="s">
        <v>829</v>
      </c>
      <c r="E2424" s="1"/>
      <c r="F2424" s="2" t="s">
        <v>374</v>
      </c>
      <c r="G2424" s="2" t="s">
        <v>374</v>
      </c>
      <c r="H2424" s="2" t="str">
        <f t="shared" si="83"/>
        <v>C</v>
      </c>
      <c r="I2424" s="5">
        <v>40</v>
      </c>
      <c r="J2424" s="5">
        <f xml:space="preserve"> 2.2356*I2424^2.2487</f>
        <v>8952.5427483506774</v>
      </c>
      <c r="K2424" s="5"/>
      <c r="L2424" s="5">
        <v>23</v>
      </c>
      <c r="M2424" s="2" t="s">
        <v>571</v>
      </c>
      <c r="N2424" s="5">
        <v>35.799999999999997</v>
      </c>
      <c r="O2424" s="5">
        <v>35.799999999999997</v>
      </c>
      <c r="P2424" s="5"/>
      <c r="R2424" s="5"/>
      <c r="S2424" s="5"/>
      <c r="V2424" s="5"/>
      <c r="W2424" s="6" t="s">
        <v>2547</v>
      </c>
      <c r="AM2424" s="29"/>
    </row>
    <row r="2425" spans="1:58" x14ac:dyDescent="0.15">
      <c r="A2425" s="2" t="s">
        <v>350</v>
      </c>
      <c r="B2425" s="2" t="s">
        <v>3941</v>
      </c>
      <c r="C2425" s="2" t="s">
        <v>3535</v>
      </c>
      <c r="D2425" s="2" t="s">
        <v>830</v>
      </c>
      <c r="E2425" s="1"/>
      <c r="F2425" s="2" t="s">
        <v>3877</v>
      </c>
      <c r="G2425" s="2" t="s">
        <v>374</v>
      </c>
      <c r="H2425" s="2" t="str">
        <f t="shared" si="83"/>
        <v>C</v>
      </c>
      <c r="I2425" s="5"/>
      <c r="J2425" s="5"/>
      <c r="K2425" s="5"/>
      <c r="L2425" s="5">
        <v>21.5</v>
      </c>
      <c r="M2425" s="2" t="s">
        <v>571</v>
      </c>
      <c r="N2425" s="5"/>
      <c r="O2425" s="5"/>
      <c r="P2425" s="5"/>
      <c r="R2425" s="5"/>
      <c r="S2425" s="5"/>
      <c r="V2425" s="5"/>
      <c r="W2425" s="6" t="s">
        <v>3878</v>
      </c>
      <c r="AM2425" s="29"/>
    </row>
    <row r="2426" spans="1:58" ht="13.5" customHeight="1" x14ac:dyDescent="0.15">
      <c r="A2426" s="2" t="s">
        <v>350</v>
      </c>
      <c r="B2426" s="2" t="s">
        <v>3941</v>
      </c>
      <c r="C2426" s="2" t="s">
        <v>3535</v>
      </c>
      <c r="D2426" s="2" t="s">
        <v>830</v>
      </c>
      <c r="E2426" s="1"/>
      <c r="F2426" s="2" t="s">
        <v>1925</v>
      </c>
      <c r="G2426" s="2" t="s">
        <v>1926</v>
      </c>
      <c r="H2426" s="2" t="str">
        <f t="shared" si="83"/>
        <v>W</v>
      </c>
      <c r="I2426" s="5">
        <v>35.42</v>
      </c>
      <c r="J2426" s="5">
        <f xml:space="preserve"> 2.2356*I2426^2.2487</f>
        <v>6810.6620489353027</v>
      </c>
      <c r="K2426" s="5"/>
      <c r="L2426" s="7">
        <f>MEDIAN(3,28)</f>
        <v>15.5</v>
      </c>
      <c r="M2426" s="2" t="s">
        <v>571</v>
      </c>
      <c r="N2426" s="5">
        <v>22</v>
      </c>
      <c r="O2426" s="5">
        <v>22</v>
      </c>
      <c r="P2426" s="5">
        <v>6.0789999999999997</v>
      </c>
      <c r="Q2426" s="2" t="s">
        <v>376</v>
      </c>
      <c r="R2426" s="5">
        <f>P2426*L2426</f>
        <v>94.224499999999992</v>
      </c>
      <c r="S2426" s="5">
        <f>(R2426/J2426)*100</f>
        <v>1.3834851784303395</v>
      </c>
      <c r="V2426" s="5"/>
      <c r="W2426" s="6" t="s">
        <v>3875</v>
      </c>
      <c r="AM2426" s="29"/>
    </row>
    <row r="2427" spans="1:58" ht="13.5" customHeight="1" x14ac:dyDescent="0.15">
      <c r="A2427" s="2" t="s">
        <v>350</v>
      </c>
      <c r="B2427" s="2" t="s">
        <v>3941</v>
      </c>
      <c r="C2427" s="2" t="s">
        <v>3535</v>
      </c>
      <c r="D2427" s="2" t="s">
        <v>830</v>
      </c>
      <c r="E2427" s="1"/>
      <c r="F2427" s="2" t="s">
        <v>1925</v>
      </c>
      <c r="G2427" s="2" t="s">
        <v>1926</v>
      </c>
      <c r="H2427" s="2" t="s">
        <v>3887</v>
      </c>
      <c r="I2427" s="5"/>
      <c r="J2427" s="5"/>
      <c r="K2427" s="5">
        <v>5.5</v>
      </c>
      <c r="L2427" s="7"/>
      <c r="M2427" s="2" t="s">
        <v>571</v>
      </c>
      <c r="N2427" s="5"/>
      <c r="O2427" s="5"/>
      <c r="P2427" s="5"/>
      <c r="R2427" s="5"/>
      <c r="S2427" s="5"/>
      <c r="V2427" s="5"/>
      <c r="W2427" s="6" t="s">
        <v>4091</v>
      </c>
      <c r="AM2427" s="29"/>
    </row>
    <row r="2428" spans="1:58" ht="15" customHeight="1" x14ac:dyDescent="0.15">
      <c r="A2428" s="2" t="s">
        <v>350</v>
      </c>
      <c r="B2428" s="2" t="s">
        <v>3941</v>
      </c>
      <c r="C2428" s="2" t="s">
        <v>3535</v>
      </c>
      <c r="D2428" s="2" t="s">
        <v>830</v>
      </c>
      <c r="E2428" s="1"/>
      <c r="F2428" s="2" t="s">
        <v>374</v>
      </c>
      <c r="G2428" s="2" t="s">
        <v>374</v>
      </c>
      <c r="H2428" s="2" t="str">
        <f>IF(G2428="captive","C","W")</f>
        <v>C</v>
      </c>
      <c r="I2428" s="5">
        <v>27</v>
      </c>
      <c r="J2428" s="5">
        <v>3500</v>
      </c>
      <c r="K2428" s="5"/>
      <c r="L2428" s="5"/>
      <c r="M2428" s="2" t="s">
        <v>571</v>
      </c>
      <c r="N2428" s="5"/>
      <c r="O2428" s="5"/>
      <c r="P2428" s="5"/>
      <c r="R2428" s="5"/>
      <c r="S2428" s="5"/>
      <c r="V2428" s="5"/>
      <c r="W2428" s="6" t="s">
        <v>3876</v>
      </c>
      <c r="AM2428" s="29"/>
    </row>
    <row r="2429" spans="1:58" ht="15" customHeight="1" x14ac:dyDescent="0.15">
      <c r="A2429" s="2" t="s">
        <v>350</v>
      </c>
      <c r="B2429" s="2" t="s">
        <v>3941</v>
      </c>
      <c r="C2429" s="2" t="s">
        <v>3536</v>
      </c>
      <c r="D2429" s="2" t="s">
        <v>831</v>
      </c>
      <c r="E2429" s="1"/>
      <c r="F2429" s="2" t="s">
        <v>29</v>
      </c>
      <c r="I2429" s="5"/>
      <c r="J2429" s="5"/>
      <c r="K2429" s="5"/>
      <c r="L2429" s="5"/>
      <c r="M2429" s="2" t="s">
        <v>571</v>
      </c>
      <c r="N2429" s="5"/>
      <c r="O2429" s="5"/>
      <c r="P2429" s="5"/>
      <c r="R2429" s="5"/>
      <c r="S2429" s="5"/>
      <c r="V2429" s="5"/>
      <c r="W2429" s="6" t="s">
        <v>838</v>
      </c>
      <c r="AM2429" s="29"/>
    </row>
    <row r="2430" spans="1:58" ht="15" customHeight="1" x14ac:dyDescent="0.15">
      <c r="A2430" s="2" t="s">
        <v>350</v>
      </c>
      <c r="B2430" s="2" t="s">
        <v>3941</v>
      </c>
      <c r="C2430" s="2" t="s">
        <v>3536</v>
      </c>
      <c r="D2430" s="2" t="s">
        <v>832</v>
      </c>
      <c r="E2430" s="1"/>
      <c r="F2430" s="2" t="s">
        <v>203</v>
      </c>
      <c r="G2430" s="2">
        <v>5</v>
      </c>
      <c r="H2430" s="2" t="str">
        <f t="shared" ref="H2430:H2455" si="84">IF(G2430="captive","C","W")</f>
        <v>W</v>
      </c>
      <c r="I2430" s="5"/>
      <c r="J2430" s="5"/>
      <c r="K2430" s="5"/>
      <c r="L2430" s="5">
        <f>MEDIAN(24,28)</f>
        <v>26</v>
      </c>
      <c r="M2430" s="2" t="s">
        <v>571</v>
      </c>
      <c r="N2430" s="5">
        <v>30</v>
      </c>
      <c r="O2430" s="5">
        <v>30</v>
      </c>
      <c r="P2430" s="5">
        <v>14.88</v>
      </c>
      <c r="Q2430" s="2" t="s">
        <v>376</v>
      </c>
      <c r="R2430" s="5">
        <f>P2430*L2430</f>
        <v>386.88</v>
      </c>
      <c r="S2430" s="5"/>
      <c r="V2430" s="5"/>
      <c r="W2430" s="6" t="s">
        <v>4144</v>
      </c>
      <c r="AM2430" s="29"/>
    </row>
    <row r="2431" spans="1:58" ht="15" customHeight="1" x14ac:dyDescent="0.15">
      <c r="A2431" s="2" t="s">
        <v>350</v>
      </c>
      <c r="B2431" s="2" t="s">
        <v>3941</v>
      </c>
      <c r="C2431" s="2" t="s">
        <v>3536</v>
      </c>
      <c r="D2431" s="2" t="s">
        <v>832</v>
      </c>
      <c r="E2431" s="1"/>
      <c r="F2431" s="2" t="s">
        <v>209</v>
      </c>
      <c r="G2431" s="2" t="s">
        <v>374</v>
      </c>
      <c r="H2431" s="2" t="s">
        <v>30</v>
      </c>
      <c r="I2431" s="5"/>
      <c r="J2431" s="5"/>
      <c r="K2431" s="5"/>
      <c r="L2431" s="5">
        <v>43.5</v>
      </c>
      <c r="M2431" s="2" t="s">
        <v>571</v>
      </c>
      <c r="N2431" s="5">
        <v>31</v>
      </c>
      <c r="O2431" s="5">
        <v>31</v>
      </c>
      <c r="P2431" s="5">
        <v>16.82</v>
      </c>
      <c r="Q2431" s="2" t="s">
        <v>18</v>
      </c>
      <c r="R2431" s="5">
        <v>731.67</v>
      </c>
      <c r="S2431" s="5"/>
      <c r="T2431" s="2">
        <v>5</v>
      </c>
      <c r="U2431" s="9" t="s">
        <v>4128</v>
      </c>
      <c r="V2431" s="5"/>
      <c r="W2431" s="6" t="s">
        <v>4143</v>
      </c>
      <c r="AM2431" s="29"/>
    </row>
    <row r="2432" spans="1:58" s="1" customFormat="1" ht="15" customHeight="1" x14ac:dyDescent="0.15">
      <c r="A2432" s="2" t="s">
        <v>350</v>
      </c>
      <c r="B2432" s="2" t="s">
        <v>3941</v>
      </c>
      <c r="C2432" s="2" t="s">
        <v>3536</v>
      </c>
      <c r="D2432" s="2" t="s">
        <v>832</v>
      </c>
      <c r="F2432" s="2" t="s">
        <v>357</v>
      </c>
      <c r="G2432" s="2" t="s">
        <v>374</v>
      </c>
      <c r="H2432" s="2" t="str">
        <f t="shared" si="84"/>
        <v>C</v>
      </c>
      <c r="I2432" s="5">
        <v>63</v>
      </c>
      <c r="J2432" s="5">
        <v>20750</v>
      </c>
      <c r="K2432" s="5"/>
      <c r="L2432" s="5">
        <v>22</v>
      </c>
      <c r="M2432" s="2" t="s">
        <v>571</v>
      </c>
      <c r="N2432" s="5">
        <v>29</v>
      </c>
      <c r="O2432" s="5">
        <v>29</v>
      </c>
      <c r="P2432" s="5">
        <v>13.27</v>
      </c>
      <c r="Q2432" s="2" t="s">
        <v>18</v>
      </c>
      <c r="R2432" s="5">
        <v>291.94</v>
      </c>
      <c r="S2432" s="5">
        <v>1.41</v>
      </c>
      <c r="T2432" s="5">
        <v>3</v>
      </c>
      <c r="U2432" s="2" t="str">
        <f>IF(T2432&lt;=1, "1",IF(AND(T2432&gt;1,T2432&lt;4), "2-3", "+4"))</f>
        <v>2-3</v>
      </c>
      <c r="V2432" s="5">
        <v>4.22</v>
      </c>
      <c r="W2432" s="6" t="s">
        <v>1877</v>
      </c>
      <c r="X2432" s="2"/>
      <c r="Y2432" s="2"/>
      <c r="Z2432" s="2"/>
      <c r="AA2432" s="2"/>
      <c r="AB2432" s="2"/>
      <c r="AC2432" s="2"/>
      <c r="AD2432" s="2"/>
      <c r="AE2432" s="2"/>
      <c r="AF2432" s="2"/>
      <c r="AG2432" s="2"/>
      <c r="AH2432" s="2"/>
      <c r="AI2432" s="2"/>
      <c r="AJ2432" s="2"/>
      <c r="AK2432" s="2"/>
      <c r="AL2432" s="2"/>
      <c r="AM2432" s="29"/>
      <c r="AN2432" s="2"/>
      <c r="AO2432" s="2"/>
      <c r="AP2432" s="2"/>
      <c r="AQ2432" s="2"/>
      <c r="AR2432" s="2"/>
      <c r="AS2432" s="2"/>
      <c r="AT2432" s="2"/>
      <c r="AU2432" s="2"/>
      <c r="AV2432" s="2"/>
      <c r="AW2432" s="2"/>
      <c r="AX2432" s="2"/>
      <c r="AY2432" s="2"/>
      <c r="AZ2432" s="2"/>
      <c r="BA2432" s="2"/>
      <c r="BB2432" s="2"/>
      <c r="BC2432" s="2"/>
      <c r="BD2432" s="2"/>
      <c r="BE2432" s="2"/>
      <c r="BF2432" s="2"/>
    </row>
    <row r="2433" spans="1:58" s="1" customFormat="1" x14ac:dyDescent="0.15">
      <c r="A2433" s="2" t="s">
        <v>350</v>
      </c>
      <c r="B2433" s="2" t="s">
        <v>3941</v>
      </c>
      <c r="C2433" s="2" t="s">
        <v>3536</v>
      </c>
      <c r="D2433" s="2" t="s">
        <v>833</v>
      </c>
      <c r="F2433" s="2" t="s">
        <v>29</v>
      </c>
      <c r="G2433" s="2"/>
      <c r="H2433" s="2" t="s">
        <v>3887</v>
      </c>
      <c r="I2433" s="5"/>
      <c r="J2433" s="5"/>
      <c r="K2433" s="5"/>
      <c r="L2433" s="5"/>
      <c r="M2433" s="2" t="s">
        <v>571</v>
      </c>
      <c r="N2433" s="5"/>
      <c r="O2433" s="5"/>
      <c r="P2433" s="5"/>
      <c r="Q2433" s="2"/>
      <c r="R2433" s="5"/>
      <c r="S2433" s="5"/>
      <c r="T2433" s="2"/>
      <c r="U2433" s="2"/>
      <c r="V2433" s="5"/>
      <c r="W2433" s="6" t="s">
        <v>838</v>
      </c>
      <c r="X2433" s="2"/>
      <c r="Y2433" s="2"/>
      <c r="Z2433" s="2"/>
      <c r="AA2433" s="2"/>
      <c r="AB2433" s="2"/>
      <c r="AC2433" s="2"/>
      <c r="AD2433" s="2"/>
      <c r="AE2433" s="2"/>
      <c r="AF2433" s="2"/>
      <c r="AG2433" s="2"/>
      <c r="AH2433" s="2"/>
      <c r="AI2433" s="2"/>
      <c r="AJ2433" s="2"/>
      <c r="AK2433" s="2"/>
      <c r="AL2433" s="2"/>
      <c r="AM2433" s="29"/>
      <c r="AN2433" s="2"/>
      <c r="AO2433" s="2"/>
      <c r="AP2433" s="2"/>
      <c r="AQ2433" s="2"/>
      <c r="AR2433" s="2"/>
      <c r="AS2433" s="2"/>
      <c r="AT2433" s="2"/>
      <c r="AU2433" s="2"/>
      <c r="AV2433" s="2"/>
      <c r="AW2433" s="2"/>
      <c r="AX2433" s="2"/>
      <c r="AY2433" s="2"/>
      <c r="AZ2433" s="2"/>
      <c r="BA2433" s="2"/>
      <c r="BB2433" s="2"/>
      <c r="BC2433" s="2"/>
      <c r="BD2433" s="2"/>
      <c r="BE2433" s="2"/>
      <c r="BF2433" s="2"/>
    </row>
    <row r="2434" spans="1:58" s="1" customFormat="1" x14ac:dyDescent="0.15">
      <c r="A2434" s="1" t="s">
        <v>350</v>
      </c>
      <c r="B2434" s="2" t="s">
        <v>3941</v>
      </c>
      <c r="C2434" s="2" t="s">
        <v>1048</v>
      </c>
      <c r="D2434" s="1" t="s">
        <v>2297</v>
      </c>
      <c r="E2434" s="2"/>
      <c r="F2434" s="1" t="s">
        <v>374</v>
      </c>
      <c r="G2434" s="1" t="s">
        <v>374</v>
      </c>
      <c r="H2434" s="2" t="str">
        <f t="shared" si="84"/>
        <v>C</v>
      </c>
      <c r="I2434" s="8"/>
      <c r="J2434" s="8"/>
      <c r="K2434" s="8"/>
      <c r="L2434" s="8">
        <v>15.26</v>
      </c>
      <c r="M2434" s="1" t="s">
        <v>571</v>
      </c>
      <c r="N2434" s="8"/>
      <c r="O2434" s="8"/>
      <c r="P2434" s="8"/>
      <c r="R2434" s="8"/>
      <c r="S2434" s="8"/>
      <c r="V2434" s="8"/>
      <c r="W2434" s="6" t="s">
        <v>3952</v>
      </c>
      <c r="Y2434" s="2"/>
      <c r="Z2434" s="2"/>
      <c r="AA2434" s="2"/>
      <c r="AB2434" s="2"/>
      <c r="AC2434" s="2"/>
      <c r="AD2434" s="2"/>
      <c r="AE2434" s="2"/>
      <c r="AF2434" s="2"/>
      <c r="AG2434" s="2"/>
      <c r="AH2434" s="2"/>
      <c r="AI2434" s="2"/>
      <c r="AJ2434" s="2"/>
      <c r="AK2434" s="2"/>
      <c r="AL2434" s="2"/>
      <c r="AM2434" s="29"/>
      <c r="AN2434" s="2"/>
      <c r="AO2434" s="2"/>
      <c r="AP2434" s="2"/>
      <c r="AQ2434" s="2"/>
      <c r="AR2434" s="2"/>
      <c r="AS2434" s="2"/>
      <c r="AT2434" s="2"/>
      <c r="AU2434" s="2"/>
      <c r="AV2434" s="2"/>
      <c r="AW2434" s="2"/>
      <c r="AX2434" s="2"/>
      <c r="AY2434" s="2"/>
      <c r="AZ2434" s="2"/>
      <c r="BA2434" s="2"/>
      <c r="BB2434" s="2"/>
      <c r="BC2434" s="2"/>
      <c r="BD2434" s="2"/>
      <c r="BE2434" s="2"/>
      <c r="BF2434" s="2"/>
    </row>
    <row r="2435" spans="1:58" s="1" customFormat="1" x14ac:dyDescent="0.15">
      <c r="A2435" s="1" t="s">
        <v>350</v>
      </c>
      <c r="B2435" s="1" t="s">
        <v>3941</v>
      </c>
      <c r="C2435" s="1" t="s">
        <v>1048</v>
      </c>
      <c r="D2435" s="1" t="s">
        <v>834</v>
      </c>
      <c r="F2435" s="1" t="s">
        <v>209</v>
      </c>
      <c r="G2435" s="1">
        <v>29</v>
      </c>
      <c r="H2435" s="1" t="str">
        <f t="shared" si="84"/>
        <v>W</v>
      </c>
      <c r="I2435" s="8">
        <v>9.68</v>
      </c>
      <c r="J2435" s="8">
        <v>115.55</v>
      </c>
      <c r="K2435" s="8"/>
      <c r="L2435" s="8"/>
      <c r="M2435" s="8" t="s">
        <v>571</v>
      </c>
      <c r="N2435" s="8">
        <v>16.5</v>
      </c>
      <c r="O2435" s="8">
        <v>16.5</v>
      </c>
      <c r="P2435" s="8">
        <v>3.05</v>
      </c>
      <c r="Q2435" s="1" t="s">
        <v>18</v>
      </c>
      <c r="R2435" s="8"/>
      <c r="S2435" s="8"/>
      <c r="V2435" s="8"/>
      <c r="W2435" s="3" t="s">
        <v>4013</v>
      </c>
      <c r="Y2435" s="2"/>
      <c r="Z2435" s="2"/>
      <c r="AA2435" s="2"/>
      <c r="AB2435" s="2"/>
      <c r="AC2435" s="2"/>
      <c r="AD2435" s="2"/>
      <c r="AE2435" s="2"/>
      <c r="AF2435" s="2"/>
      <c r="AG2435" s="2"/>
      <c r="AH2435" s="2"/>
      <c r="AI2435" s="2"/>
      <c r="AJ2435" s="2"/>
      <c r="AK2435" s="2"/>
      <c r="AL2435" s="2"/>
      <c r="AM2435" s="29"/>
      <c r="AN2435" s="2"/>
      <c r="AO2435" s="2"/>
      <c r="AP2435" s="2"/>
      <c r="AQ2435" s="2"/>
      <c r="AR2435" s="2"/>
      <c r="AS2435" s="2"/>
      <c r="AT2435" s="2"/>
      <c r="AU2435" s="2"/>
      <c r="AV2435" s="2"/>
      <c r="AW2435" s="2"/>
      <c r="AX2435" s="2"/>
      <c r="AY2435" s="2"/>
      <c r="AZ2435" s="2"/>
      <c r="BA2435" s="2"/>
      <c r="BB2435" s="2"/>
      <c r="BC2435" s="2"/>
      <c r="BD2435" s="2"/>
      <c r="BE2435" s="2"/>
      <c r="BF2435" s="2"/>
    </row>
    <row r="2436" spans="1:58" ht="15" customHeight="1" x14ac:dyDescent="0.15">
      <c r="A2436" s="2" t="s">
        <v>350</v>
      </c>
      <c r="B2436" s="2" t="s">
        <v>3941</v>
      </c>
      <c r="C2436" s="2" t="s">
        <v>1048</v>
      </c>
      <c r="D2436" s="2" t="s">
        <v>834</v>
      </c>
      <c r="E2436" s="1"/>
      <c r="F2436" s="2" t="s">
        <v>29</v>
      </c>
      <c r="H2436" s="2" t="s">
        <v>3887</v>
      </c>
      <c r="I2436" s="5"/>
      <c r="J2436" s="5"/>
      <c r="K2436" s="5"/>
      <c r="L2436" s="5"/>
      <c r="M2436" s="2" t="s">
        <v>571</v>
      </c>
      <c r="N2436" s="5"/>
      <c r="O2436" s="5"/>
      <c r="P2436" s="5"/>
      <c r="R2436" s="5"/>
      <c r="S2436" s="5"/>
      <c r="V2436" s="5"/>
      <c r="W2436" s="6" t="s">
        <v>838</v>
      </c>
      <c r="AM2436" s="29"/>
    </row>
    <row r="2437" spans="1:58" ht="15" customHeight="1" x14ac:dyDescent="0.15">
      <c r="A2437" s="2" t="s">
        <v>350</v>
      </c>
      <c r="B2437" s="2" t="s">
        <v>3941</v>
      </c>
      <c r="C2437" s="2" t="s">
        <v>1048</v>
      </c>
      <c r="D2437" s="2" t="s">
        <v>895</v>
      </c>
      <c r="E2437" s="1"/>
      <c r="F2437" s="2" t="s">
        <v>374</v>
      </c>
      <c r="G2437" s="2" t="s">
        <v>374</v>
      </c>
      <c r="H2437" s="2" t="str">
        <f t="shared" si="84"/>
        <v>C</v>
      </c>
      <c r="I2437" s="5">
        <v>21.8</v>
      </c>
      <c r="J2437" s="5">
        <v>1550</v>
      </c>
      <c r="K2437" s="5"/>
      <c r="L2437" s="5">
        <v>10</v>
      </c>
      <c r="M2437" s="2" t="s">
        <v>571</v>
      </c>
      <c r="N2437" s="5">
        <v>19.5</v>
      </c>
      <c r="O2437" s="5">
        <v>19.5</v>
      </c>
      <c r="P2437" s="5">
        <f xml:space="preserve"> 0.316*N2437 + 0.489*O2437- 11.419</f>
        <v>4.2784999999999975</v>
      </c>
      <c r="Q2437" s="2" t="s">
        <v>376</v>
      </c>
      <c r="R2437" s="5">
        <f>P2437*L2437</f>
        <v>42.784999999999975</v>
      </c>
      <c r="S2437" s="5">
        <f>(R2437/J2437)*100</f>
        <v>2.7603225806451599</v>
      </c>
      <c r="V2437" s="5"/>
      <c r="W2437" s="6" t="s">
        <v>2546</v>
      </c>
      <c r="AM2437" s="29"/>
    </row>
    <row r="2438" spans="1:58" ht="15" customHeight="1" x14ac:dyDescent="0.15">
      <c r="A2438" s="1" t="s">
        <v>350</v>
      </c>
      <c r="B2438" s="1" t="s">
        <v>3941</v>
      </c>
      <c r="C2438" s="1" t="s">
        <v>1048</v>
      </c>
      <c r="D2438" s="1" t="s">
        <v>4001</v>
      </c>
      <c r="E2438" s="1"/>
      <c r="F2438" s="1" t="s">
        <v>209</v>
      </c>
      <c r="G2438" s="1">
        <v>29.69</v>
      </c>
      <c r="H2438" s="1" t="str">
        <f t="shared" si="84"/>
        <v>W</v>
      </c>
      <c r="I2438" s="8">
        <v>10.46</v>
      </c>
      <c r="J2438" s="8">
        <v>144.6</v>
      </c>
      <c r="K2438" s="8"/>
      <c r="L2438" s="8">
        <v>5</v>
      </c>
      <c r="M2438" s="8" t="s">
        <v>571</v>
      </c>
      <c r="N2438" s="8">
        <v>15.95</v>
      </c>
      <c r="O2438" s="8">
        <v>15.56</v>
      </c>
      <c r="P2438" s="8">
        <v>2.12</v>
      </c>
      <c r="Q2438" s="1" t="s">
        <v>18</v>
      </c>
      <c r="R2438" s="8">
        <v>10.6</v>
      </c>
      <c r="S2438" s="8">
        <v>7.33</v>
      </c>
      <c r="T2438" s="1"/>
      <c r="U2438" s="1"/>
      <c r="V2438" s="8"/>
      <c r="W2438" s="3" t="s">
        <v>4014</v>
      </c>
      <c r="X2438" s="1"/>
      <c r="AM2438" s="29"/>
    </row>
    <row r="2439" spans="1:58" ht="15" customHeight="1" x14ac:dyDescent="0.15">
      <c r="A2439" s="2" t="s">
        <v>350</v>
      </c>
      <c r="B2439" s="2" t="s">
        <v>3941</v>
      </c>
      <c r="C2439" s="2" t="s">
        <v>1048</v>
      </c>
      <c r="D2439" s="2" t="s">
        <v>835</v>
      </c>
      <c r="E2439" s="1"/>
      <c r="F2439" s="2" t="s">
        <v>2944</v>
      </c>
      <c r="H2439" s="2" t="s">
        <v>3887</v>
      </c>
      <c r="I2439" s="5"/>
      <c r="J2439" s="5"/>
      <c r="K2439" s="5">
        <v>6.5</v>
      </c>
      <c r="L2439" s="5"/>
      <c r="M2439" s="2" t="s">
        <v>571</v>
      </c>
      <c r="N2439" s="5"/>
      <c r="O2439" s="5"/>
      <c r="P2439" s="5"/>
      <c r="R2439" s="5"/>
      <c r="S2439" s="5"/>
      <c r="V2439" s="5"/>
      <c r="W2439" s="6" t="s">
        <v>4093</v>
      </c>
      <c r="AM2439" s="29"/>
    </row>
    <row r="2440" spans="1:58" ht="15" customHeight="1" x14ac:dyDescent="0.15">
      <c r="A2440" s="2" t="s">
        <v>350</v>
      </c>
      <c r="B2440" s="2" t="s">
        <v>3941</v>
      </c>
      <c r="C2440" s="2" t="s">
        <v>1048</v>
      </c>
      <c r="D2440" s="2" t="s">
        <v>836</v>
      </c>
      <c r="E2440" s="1"/>
      <c r="F2440" s="2" t="s">
        <v>29</v>
      </c>
      <c r="H2440" s="2" t="s">
        <v>3887</v>
      </c>
      <c r="I2440" s="5"/>
      <c r="J2440" s="5"/>
      <c r="K2440" s="5"/>
      <c r="L2440" s="5"/>
      <c r="M2440" s="2" t="s">
        <v>571</v>
      </c>
      <c r="N2440" s="5"/>
      <c r="O2440" s="5"/>
      <c r="P2440" s="5"/>
      <c r="R2440" s="5"/>
      <c r="S2440" s="5"/>
      <c r="V2440" s="5"/>
      <c r="W2440" s="6" t="s">
        <v>838</v>
      </c>
      <c r="AM2440" s="29"/>
    </row>
    <row r="2441" spans="1:58" ht="15" customHeight="1" x14ac:dyDescent="0.15">
      <c r="A2441" s="2" t="s">
        <v>350</v>
      </c>
      <c r="B2441" s="2" t="s">
        <v>3941</v>
      </c>
      <c r="C2441" s="2" t="s">
        <v>1048</v>
      </c>
      <c r="D2441" s="2" t="s">
        <v>514</v>
      </c>
      <c r="E2441" s="1"/>
      <c r="F2441" s="2" t="s">
        <v>359</v>
      </c>
      <c r="G2441" s="2">
        <v>29</v>
      </c>
      <c r="H2441" s="2" t="str">
        <f t="shared" si="84"/>
        <v>W</v>
      </c>
      <c r="I2441" s="5"/>
      <c r="J2441" s="5"/>
      <c r="K2441" s="5"/>
      <c r="L2441" s="5">
        <v>20</v>
      </c>
      <c r="M2441" s="2" t="s">
        <v>571</v>
      </c>
      <c r="N2441" s="5">
        <f>(P2441+10.507)/0.7446</f>
        <v>21.295997851195271</v>
      </c>
      <c r="O2441" s="5">
        <f>(P2441+10.44)/0.7659</f>
        <v>20.616268442355398</v>
      </c>
      <c r="P2441" s="5">
        <v>5.35</v>
      </c>
      <c r="Q2441" s="2" t="s">
        <v>18</v>
      </c>
      <c r="R2441" s="5">
        <f>P2441*L2441</f>
        <v>107</v>
      </c>
      <c r="S2441" s="5"/>
      <c r="V2441" s="5"/>
      <c r="W2441" s="6" t="s">
        <v>2142</v>
      </c>
      <c r="AM2441" s="29"/>
    </row>
    <row r="2442" spans="1:58" ht="15" customHeight="1" x14ac:dyDescent="0.15">
      <c r="A2442" s="2" t="s">
        <v>350</v>
      </c>
      <c r="B2442" s="2" t="s">
        <v>3941</v>
      </c>
      <c r="C2442" s="2" t="s">
        <v>1048</v>
      </c>
      <c r="D2442" s="2" t="s">
        <v>514</v>
      </c>
      <c r="E2442" s="1"/>
      <c r="F2442" s="2" t="s">
        <v>358</v>
      </c>
      <c r="G2442" s="2">
        <v>30</v>
      </c>
      <c r="H2442" s="2" t="str">
        <f t="shared" si="84"/>
        <v>W</v>
      </c>
      <c r="I2442" s="5"/>
      <c r="J2442" s="5"/>
      <c r="K2442" s="5"/>
      <c r="L2442" s="5">
        <v>18</v>
      </c>
      <c r="M2442" s="2" t="s">
        <v>571</v>
      </c>
      <c r="N2442" s="5">
        <f>(P2442+10.507)/0.7446</f>
        <v>19.73811442385173</v>
      </c>
      <c r="O2442" s="5">
        <f>(P2442+10.44)/0.7659</f>
        <v>19.101710406058231</v>
      </c>
      <c r="P2442" s="5">
        <v>4.1900000000000004</v>
      </c>
      <c r="Q2442" s="2" t="s">
        <v>18</v>
      </c>
      <c r="R2442" s="5">
        <f>P2442*L2442</f>
        <v>75.42</v>
      </c>
      <c r="S2442" s="5"/>
      <c r="V2442" s="5"/>
      <c r="W2442" s="6" t="s">
        <v>2140</v>
      </c>
      <c r="AM2442" s="29"/>
    </row>
    <row r="2443" spans="1:58" x14ac:dyDescent="0.15">
      <c r="A2443" s="2" t="s">
        <v>350</v>
      </c>
      <c r="B2443" s="2" t="s">
        <v>3941</v>
      </c>
      <c r="C2443" s="2" t="s">
        <v>1048</v>
      </c>
      <c r="D2443" s="2" t="s">
        <v>514</v>
      </c>
      <c r="E2443" s="1"/>
      <c r="F2443" s="2" t="s">
        <v>358</v>
      </c>
      <c r="G2443" s="2">
        <v>30</v>
      </c>
      <c r="H2443" s="2" t="str">
        <f t="shared" si="84"/>
        <v>W</v>
      </c>
      <c r="I2443" s="5"/>
      <c r="J2443" s="5"/>
      <c r="K2443" s="5"/>
      <c r="L2443" s="5">
        <f>391/42</f>
        <v>9.3095238095238102</v>
      </c>
      <c r="M2443" s="2" t="s">
        <v>571</v>
      </c>
      <c r="N2443" s="5"/>
      <c r="O2443" s="5"/>
      <c r="P2443" s="5"/>
      <c r="R2443" s="5"/>
      <c r="S2443" s="5"/>
      <c r="V2443" s="5"/>
      <c r="W2443" s="6" t="s">
        <v>2144</v>
      </c>
      <c r="AM2443" s="29"/>
    </row>
    <row r="2444" spans="1:58" ht="12.75" customHeight="1" x14ac:dyDescent="0.15">
      <c r="A2444" s="2" t="s">
        <v>350</v>
      </c>
      <c r="B2444" s="2" t="s">
        <v>3941</v>
      </c>
      <c r="C2444" s="2" t="s">
        <v>1048</v>
      </c>
      <c r="D2444" s="2" t="s">
        <v>514</v>
      </c>
      <c r="E2444" s="1"/>
      <c r="F2444" s="2" t="s">
        <v>359</v>
      </c>
      <c r="G2444" s="2">
        <v>29</v>
      </c>
      <c r="H2444" s="2" t="str">
        <f t="shared" si="84"/>
        <v>W</v>
      </c>
      <c r="I2444" s="5"/>
      <c r="J2444" s="5"/>
      <c r="K2444" s="5"/>
      <c r="L2444" s="5"/>
      <c r="M2444" s="2" t="s">
        <v>571</v>
      </c>
      <c r="N2444" s="5">
        <f>(P2444+10.507)/0.7446</f>
        <v>20.474080042976095</v>
      </c>
      <c r="O2444" s="5">
        <f>(P2444+10.44)/0.7659</f>
        <v>19.817208512860688</v>
      </c>
      <c r="P2444" s="5">
        <v>4.7380000000000004</v>
      </c>
      <c r="Q2444" s="2" t="s">
        <v>18</v>
      </c>
      <c r="R2444" s="5"/>
      <c r="S2444" s="5"/>
      <c r="V2444" s="5"/>
      <c r="W2444" s="6" t="s">
        <v>2146</v>
      </c>
    </row>
    <row r="2445" spans="1:58" x14ac:dyDescent="0.15">
      <c r="A2445" s="2" t="s">
        <v>350</v>
      </c>
      <c r="B2445" s="2" t="s">
        <v>3941</v>
      </c>
      <c r="C2445" s="2" t="s">
        <v>1048</v>
      </c>
      <c r="D2445" s="2" t="s">
        <v>835</v>
      </c>
      <c r="E2445" s="1"/>
      <c r="F2445" s="2" t="s">
        <v>217</v>
      </c>
      <c r="G2445" s="2" t="s">
        <v>374</v>
      </c>
      <c r="H2445" s="2" t="str">
        <f t="shared" si="84"/>
        <v>C</v>
      </c>
      <c r="I2445" s="5"/>
      <c r="J2445" s="5"/>
      <c r="K2445" s="5">
        <v>5.5</v>
      </c>
      <c r="L2445" s="5">
        <v>22.43</v>
      </c>
      <c r="M2445" s="2" t="s">
        <v>571</v>
      </c>
      <c r="N2445" s="7">
        <f>MEDIAN(18,21)</f>
        <v>19.5</v>
      </c>
      <c r="O2445" s="7">
        <f>MEDIAN(18,21)</f>
        <v>19.5</v>
      </c>
      <c r="P2445" s="5"/>
      <c r="R2445" s="5"/>
      <c r="S2445" s="5"/>
      <c r="T2445" s="7">
        <f>MEDIAN(2,4)</f>
        <v>3</v>
      </c>
      <c r="U2445" s="2" t="str">
        <f>IF(T2445&lt;=1, "1",IF(AND(T2445&gt;1,T2445&lt;4), "2-3", "+4"))</f>
        <v>2-3</v>
      </c>
      <c r="V2445" s="5"/>
      <c r="W2445" s="6" t="s">
        <v>1930</v>
      </c>
    </row>
    <row r="2446" spans="1:58" ht="12.75" customHeight="1" x14ac:dyDescent="0.15">
      <c r="A2446" s="2" t="s">
        <v>350</v>
      </c>
      <c r="B2446" s="2" t="s">
        <v>3941</v>
      </c>
      <c r="C2446" s="2" t="s">
        <v>1048</v>
      </c>
      <c r="D2446" s="2" t="s">
        <v>514</v>
      </c>
      <c r="E2446" s="1"/>
      <c r="F2446" s="2" t="s">
        <v>358</v>
      </c>
      <c r="G2446" s="2">
        <v>30</v>
      </c>
      <c r="H2446" s="2" t="str">
        <f t="shared" si="84"/>
        <v>W</v>
      </c>
      <c r="I2446" s="5"/>
      <c r="J2446" s="5"/>
      <c r="K2446" s="5"/>
      <c r="L2446" s="5">
        <v>14</v>
      </c>
      <c r="M2446" s="2" t="s">
        <v>571</v>
      </c>
      <c r="N2446" s="5">
        <f>(P2446+10.507)/0.7446</f>
        <v>22.236099919419821</v>
      </c>
      <c r="O2446" s="5">
        <f>(P2446+10.44)/0.7659</f>
        <v>21.530225878051962</v>
      </c>
      <c r="P2446" s="5">
        <v>6.05</v>
      </c>
      <c r="Q2446" s="2" t="s">
        <v>18</v>
      </c>
      <c r="R2446" s="5">
        <f>P2446*L2446</f>
        <v>84.7</v>
      </c>
      <c r="S2446" s="5"/>
      <c r="V2446" s="5"/>
      <c r="W2446" s="6" t="s">
        <v>2145</v>
      </c>
    </row>
    <row r="2447" spans="1:58" s="1" customFormat="1" x14ac:dyDescent="0.15">
      <c r="A2447" s="2" t="s">
        <v>350</v>
      </c>
      <c r="B2447" s="2" t="s">
        <v>3941</v>
      </c>
      <c r="C2447" s="2" t="s">
        <v>1048</v>
      </c>
      <c r="D2447" s="2" t="s">
        <v>514</v>
      </c>
      <c r="F2447" s="2" t="s">
        <v>374</v>
      </c>
      <c r="G2447" s="2" t="s">
        <v>374</v>
      </c>
      <c r="H2447" s="2" t="str">
        <f t="shared" si="84"/>
        <v>C</v>
      </c>
      <c r="I2447" s="5"/>
      <c r="J2447" s="5"/>
      <c r="K2447" s="5"/>
      <c r="L2447" s="5">
        <v>9</v>
      </c>
      <c r="M2447" s="2" t="s">
        <v>571</v>
      </c>
      <c r="N2447" s="5">
        <v>20</v>
      </c>
      <c r="O2447" s="5">
        <v>20</v>
      </c>
      <c r="P2447" s="5">
        <v>4.1349999999999998</v>
      </c>
      <c r="Q2447" s="2" t="s">
        <v>376</v>
      </c>
      <c r="R2447" s="5">
        <v>37.215000000000003</v>
      </c>
      <c r="S2447" s="5"/>
      <c r="T2447" s="2" t="s">
        <v>861</v>
      </c>
      <c r="U2447" s="2"/>
      <c r="V2447" s="5"/>
      <c r="W2447" s="6" t="s">
        <v>2544</v>
      </c>
      <c r="X2447" s="2"/>
      <c r="Y2447" s="2"/>
      <c r="Z2447" s="2"/>
      <c r="AA2447" s="2"/>
      <c r="AB2447" s="2"/>
      <c r="AC2447" s="2"/>
      <c r="AD2447" s="2"/>
      <c r="AE2447" s="2"/>
      <c r="AF2447" s="2"/>
      <c r="AG2447" s="2"/>
      <c r="AH2447" s="2"/>
      <c r="AI2447" s="2"/>
      <c r="AJ2447" s="2"/>
      <c r="AK2447" s="2"/>
      <c r="AL2447" s="2"/>
      <c r="AM2447" s="2"/>
      <c r="AN2447" s="2"/>
      <c r="AO2447" s="2"/>
      <c r="AP2447" s="2"/>
      <c r="AQ2447" s="2"/>
      <c r="AR2447" s="2"/>
      <c r="AS2447" s="2"/>
      <c r="AT2447" s="2"/>
      <c r="AU2447" s="2"/>
      <c r="AV2447" s="2"/>
      <c r="AW2447" s="2"/>
      <c r="AX2447" s="2"/>
      <c r="AY2447" s="2"/>
      <c r="AZ2447" s="2"/>
      <c r="BA2447" s="2"/>
      <c r="BB2447" s="2"/>
      <c r="BC2447" s="2"/>
      <c r="BD2447" s="2"/>
      <c r="BE2447" s="2"/>
      <c r="BF2447" s="2"/>
    </row>
    <row r="2448" spans="1:58" s="30" customFormat="1" x14ac:dyDescent="0.15">
      <c r="A2448" s="2" t="s">
        <v>350</v>
      </c>
      <c r="B2448" s="2" t="s">
        <v>3941</v>
      </c>
      <c r="C2448" s="2" t="s">
        <v>1048</v>
      </c>
      <c r="D2448" s="2" t="s">
        <v>514</v>
      </c>
      <c r="E2448" s="1"/>
      <c r="F2448" s="2" t="s">
        <v>216</v>
      </c>
      <c r="G2448" s="2"/>
      <c r="H2448" s="2" t="s">
        <v>3887</v>
      </c>
      <c r="I2448" s="5">
        <v>13.5</v>
      </c>
      <c r="J2448" s="5">
        <f xml:space="preserve"> 0.19454*I2448^2.8203</f>
        <v>299.83977190217263</v>
      </c>
      <c r="K2448" s="5"/>
      <c r="L2448" s="7">
        <v>9</v>
      </c>
      <c r="M2448" s="2" t="s">
        <v>571</v>
      </c>
      <c r="N2448" s="5"/>
      <c r="O2448" s="7">
        <v>16.5</v>
      </c>
      <c r="P2448" s="5">
        <v>2.226</v>
      </c>
      <c r="Q2448" s="2" t="s">
        <v>376</v>
      </c>
      <c r="R2448" s="5">
        <f>P2448*L2448</f>
        <v>20.033999999999999</v>
      </c>
      <c r="S2448" s="5">
        <f>(R2448/J2448)*100</f>
        <v>6.6815685834154124</v>
      </c>
      <c r="T2448" s="7">
        <f>MEDIAN(3,5)</f>
        <v>4</v>
      </c>
      <c r="U2448" s="2" t="str">
        <f>IF(T2448&lt;=1, "1",IF(AND(T2448&gt;1,T2448&lt;4), "2-3", "+4"))</f>
        <v>+4</v>
      </c>
      <c r="V2448" s="33">
        <f>T2448*S2448</f>
        <v>26.72627433366165</v>
      </c>
      <c r="W2448" s="6" t="s">
        <v>2147</v>
      </c>
      <c r="X2448" s="2"/>
      <c r="Y2448" s="2"/>
      <c r="Z2448" s="2"/>
      <c r="AA2448" s="2"/>
      <c r="AB2448" s="2"/>
      <c r="AC2448" s="2"/>
      <c r="AD2448" s="2"/>
      <c r="AE2448" s="2"/>
      <c r="AF2448" s="2"/>
      <c r="AG2448" s="2"/>
      <c r="AH2448" s="2"/>
      <c r="AI2448" s="2"/>
      <c r="AJ2448" s="2"/>
      <c r="AK2448" s="2"/>
      <c r="AL2448" s="2"/>
      <c r="AM2448" s="2"/>
      <c r="AN2448" s="2"/>
      <c r="AO2448" s="2"/>
      <c r="AP2448" s="2"/>
      <c r="AQ2448" s="2"/>
      <c r="AR2448" s="2"/>
      <c r="AS2448" s="2"/>
      <c r="AT2448" s="2"/>
      <c r="AU2448" s="2"/>
      <c r="AV2448" s="2"/>
      <c r="AW2448" s="2"/>
      <c r="AX2448" s="2"/>
      <c r="AY2448" s="2"/>
      <c r="AZ2448" s="2"/>
      <c r="BA2448" s="1"/>
      <c r="BB2448" s="1"/>
      <c r="BC2448" s="1"/>
      <c r="BD2448" s="1"/>
      <c r="BE2448" s="1"/>
      <c r="BF2448" s="1"/>
    </row>
    <row r="2449" spans="1:58" s="1" customFormat="1" x14ac:dyDescent="0.15">
      <c r="A2449" s="2" t="s">
        <v>350</v>
      </c>
      <c r="B2449" s="2" t="s">
        <v>3941</v>
      </c>
      <c r="C2449" s="2" t="s">
        <v>1048</v>
      </c>
      <c r="D2449" s="2" t="s">
        <v>835</v>
      </c>
      <c r="F2449" s="2" t="s">
        <v>217</v>
      </c>
      <c r="G2449" s="2" t="s">
        <v>374</v>
      </c>
      <c r="H2449" s="2" t="str">
        <f t="shared" si="84"/>
        <v>C</v>
      </c>
      <c r="I2449" s="5"/>
      <c r="J2449" s="5"/>
      <c r="K2449" s="7">
        <f>MEDIAN(6,8)</f>
        <v>7</v>
      </c>
      <c r="L2449" s="5">
        <f>MEDIAN(17,28)</f>
        <v>22.5</v>
      </c>
      <c r="M2449" s="2" t="s">
        <v>571</v>
      </c>
      <c r="N2449" s="5">
        <v>20</v>
      </c>
      <c r="O2449" s="5">
        <v>20</v>
      </c>
      <c r="P2449" s="5"/>
      <c r="Q2449" s="2"/>
      <c r="R2449" s="5"/>
      <c r="S2449" s="5"/>
      <c r="T2449" s="7">
        <f>MEDIAN(2,4)</f>
        <v>3</v>
      </c>
      <c r="U2449" s="2" t="str">
        <f>IF(T2449&lt;=1, "1",IF(AND(T2449&gt;1,T2449&lt;4), "2-3", "+4"))</f>
        <v>2-3</v>
      </c>
      <c r="V2449" s="5"/>
      <c r="W2449" s="6" t="s">
        <v>3307</v>
      </c>
      <c r="X2449" s="2"/>
      <c r="Y2449" s="2"/>
      <c r="Z2449" s="2"/>
      <c r="AA2449" s="2"/>
      <c r="AB2449" s="2"/>
      <c r="AC2449" s="2"/>
      <c r="AD2449" s="2"/>
      <c r="AE2449" s="2"/>
      <c r="AF2449" s="2"/>
      <c r="AG2449" s="2"/>
      <c r="AH2449" s="2"/>
      <c r="AI2449" s="2"/>
      <c r="AJ2449" s="2"/>
      <c r="AK2449" s="2"/>
      <c r="AL2449" s="2"/>
      <c r="AM2449" s="2"/>
      <c r="AN2449" s="2"/>
      <c r="AO2449" s="2"/>
      <c r="AP2449" s="2"/>
      <c r="AQ2449" s="2"/>
      <c r="AR2449" s="2"/>
      <c r="AS2449" s="2"/>
      <c r="AT2449" s="2"/>
    </row>
    <row r="2450" spans="1:58" ht="12.75" customHeight="1" x14ac:dyDescent="0.15">
      <c r="A2450" s="2" t="s">
        <v>350</v>
      </c>
      <c r="B2450" s="2" t="s">
        <v>3941</v>
      </c>
      <c r="C2450" s="2" t="s">
        <v>1048</v>
      </c>
      <c r="D2450" s="2" t="s">
        <v>835</v>
      </c>
      <c r="E2450" s="1"/>
      <c r="F2450" s="2" t="s">
        <v>217</v>
      </c>
      <c r="G2450" s="2">
        <v>35</v>
      </c>
      <c r="H2450" s="2" t="str">
        <f t="shared" si="84"/>
        <v>W</v>
      </c>
      <c r="I2450" s="5">
        <v>23</v>
      </c>
      <c r="J2450" s="5">
        <v>2327.5</v>
      </c>
      <c r="K2450" s="5"/>
      <c r="L2450" s="5">
        <v>14.5</v>
      </c>
      <c r="M2450" s="2" t="s">
        <v>571</v>
      </c>
      <c r="N2450" s="5">
        <v>21.28</v>
      </c>
      <c r="O2450" s="5">
        <v>20.66</v>
      </c>
      <c r="P2450" s="5">
        <v>5.4020000000000001</v>
      </c>
      <c r="Q2450" s="2" t="s">
        <v>18</v>
      </c>
      <c r="R2450" s="5">
        <v>78.33</v>
      </c>
      <c r="S2450" s="5">
        <f>(R2450/J2450)*100</f>
        <v>3.3654135338345865</v>
      </c>
      <c r="V2450" s="5"/>
      <c r="W2450" s="6" t="s">
        <v>1878</v>
      </c>
      <c r="AO2450" s="1"/>
      <c r="AP2450" s="1"/>
      <c r="AQ2450" s="1"/>
      <c r="AR2450" s="1"/>
      <c r="AS2450" s="1"/>
      <c r="AT2450" s="1"/>
      <c r="AU2450" s="1"/>
      <c r="AV2450" s="1"/>
      <c r="AW2450" s="1"/>
      <c r="AX2450" s="1"/>
      <c r="AY2450" s="1"/>
      <c r="AZ2450" s="1"/>
      <c r="BA2450" s="1"/>
      <c r="BB2450" s="1"/>
      <c r="BC2450" s="1"/>
      <c r="BD2450" s="1"/>
      <c r="BE2450" s="1"/>
      <c r="BF2450" s="1"/>
    </row>
    <row r="2451" spans="1:58" x14ac:dyDescent="0.15">
      <c r="A2451" s="2" t="s">
        <v>350</v>
      </c>
      <c r="B2451" s="2" t="s">
        <v>3941</v>
      </c>
      <c r="C2451" s="2" t="s">
        <v>1048</v>
      </c>
      <c r="D2451" s="2" t="s">
        <v>514</v>
      </c>
      <c r="E2451" s="1"/>
      <c r="F2451" s="2" t="s">
        <v>358</v>
      </c>
      <c r="G2451" s="2">
        <v>30</v>
      </c>
      <c r="H2451" s="2" t="str">
        <f t="shared" si="84"/>
        <v>W</v>
      </c>
      <c r="I2451" s="5"/>
      <c r="J2451" s="5"/>
      <c r="K2451" s="5"/>
      <c r="L2451" s="5">
        <f>621/68</f>
        <v>9.132352941176471</v>
      </c>
      <c r="M2451" s="2" t="s">
        <v>571</v>
      </c>
      <c r="N2451" s="5">
        <f>(P2451+10.507)/0.7446</f>
        <v>20.651356432984151</v>
      </c>
      <c r="O2451" s="5">
        <f>(P2451+10.44)/0.7659</f>
        <v>19.989554772163466</v>
      </c>
      <c r="P2451" s="5">
        <v>4.87</v>
      </c>
      <c r="Q2451" s="2" t="s">
        <v>18</v>
      </c>
      <c r="R2451" s="5">
        <f>P2451*L2451</f>
        <v>44.474558823529414</v>
      </c>
      <c r="S2451" s="5"/>
      <c r="V2451" s="5"/>
      <c r="W2451" s="6" t="s">
        <v>2141</v>
      </c>
      <c r="AO2451" s="1"/>
      <c r="AP2451" s="1"/>
      <c r="AQ2451" s="1"/>
      <c r="AR2451" s="1"/>
      <c r="AS2451" s="1"/>
      <c r="AT2451" s="1"/>
      <c r="AU2451" s="1"/>
      <c r="AV2451" s="1"/>
      <c r="AW2451" s="1"/>
      <c r="AX2451" s="1"/>
      <c r="AY2451" s="1"/>
      <c r="AZ2451" s="1"/>
      <c r="BA2451" s="1"/>
      <c r="BB2451" s="1"/>
      <c r="BC2451" s="1"/>
      <c r="BD2451" s="1"/>
      <c r="BE2451" s="1"/>
      <c r="BF2451" s="1"/>
    </row>
    <row r="2452" spans="1:58" x14ac:dyDescent="0.15">
      <c r="A2452" s="2" t="s">
        <v>350</v>
      </c>
      <c r="B2452" s="2" t="s">
        <v>3941</v>
      </c>
      <c r="C2452" s="2" t="s">
        <v>1048</v>
      </c>
      <c r="D2452" s="2" t="s">
        <v>514</v>
      </c>
      <c r="E2452" s="1"/>
      <c r="F2452" s="2" t="s">
        <v>515</v>
      </c>
      <c r="H2452" s="2" t="s">
        <v>3887</v>
      </c>
      <c r="I2452" s="5"/>
      <c r="J2452" s="5"/>
      <c r="K2452" s="7">
        <f>MEDIAN(6,7)</f>
        <v>6.5</v>
      </c>
      <c r="L2452" s="5"/>
      <c r="M2452" s="5" t="s">
        <v>571</v>
      </c>
      <c r="N2452" s="5"/>
      <c r="O2452" s="5">
        <f>MEDIAN(19.5,21)</f>
        <v>20.25</v>
      </c>
      <c r="P2452" s="5"/>
      <c r="R2452" s="5"/>
      <c r="S2452" s="5"/>
      <c r="T2452" s="7">
        <f>MEDIAN(2,3)</f>
        <v>2.5</v>
      </c>
      <c r="U2452" s="2" t="str">
        <f>IF(T2452&lt;=1, "1",IF(AND(T2452&gt;1,T2452&lt;4), "2-3", "+4"))</f>
        <v>2-3</v>
      </c>
      <c r="V2452" s="5"/>
      <c r="W2452" s="6" t="s">
        <v>2545</v>
      </c>
      <c r="AH2452" s="1"/>
      <c r="AI2452" s="1"/>
      <c r="AJ2452" s="1"/>
      <c r="AK2452" s="1"/>
      <c r="AL2452" s="1"/>
      <c r="AM2452" s="1"/>
      <c r="AN2452" s="1"/>
      <c r="AO2452" s="1"/>
      <c r="AP2452" s="1"/>
      <c r="AQ2452" s="1"/>
      <c r="AR2452" s="1"/>
      <c r="AS2452" s="1"/>
      <c r="AT2452" s="1"/>
      <c r="AU2452" s="1"/>
      <c r="AV2452" s="1"/>
      <c r="AW2452" s="1"/>
      <c r="AX2452" s="1"/>
      <c r="AY2452" s="1"/>
      <c r="AZ2452" s="1"/>
    </row>
    <row r="2453" spans="1:58" x14ac:dyDescent="0.15">
      <c r="A2453" s="2" t="s">
        <v>350</v>
      </c>
      <c r="B2453" s="2" t="s">
        <v>3941</v>
      </c>
      <c r="C2453" s="2" t="s">
        <v>1048</v>
      </c>
      <c r="D2453" s="2" t="s">
        <v>514</v>
      </c>
      <c r="E2453" s="1"/>
      <c r="F2453" s="2" t="s">
        <v>358</v>
      </c>
      <c r="G2453" s="2">
        <v>30</v>
      </c>
      <c r="H2453" s="2" t="str">
        <f t="shared" si="84"/>
        <v>W</v>
      </c>
      <c r="I2453" s="5"/>
      <c r="J2453" s="5"/>
      <c r="K2453" s="5"/>
      <c r="L2453" s="5"/>
      <c r="M2453" s="2" t="s">
        <v>571</v>
      </c>
      <c r="N2453" s="5">
        <f>(P2453+10.507)/0.7446</f>
        <v>18.005640612409348</v>
      </c>
      <c r="O2453" s="5">
        <f>(P2453+10.44)/0.7659</f>
        <v>17.417417417417418</v>
      </c>
      <c r="P2453" s="5">
        <v>2.9</v>
      </c>
      <c r="Q2453" s="2" t="s">
        <v>18</v>
      </c>
      <c r="R2453" s="5"/>
      <c r="S2453" s="5"/>
      <c r="V2453" s="5"/>
      <c r="W2453" s="6" t="s">
        <v>2143</v>
      </c>
      <c r="AH2453" s="1"/>
      <c r="AI2453" s="1"/>
      <c r="AJ2453" s="1"/>
      <c r="AK2453" s="1"/>
      <c r="AL2453" s="1"/>
      <c r="AM2453" s="1"/>
      <c r="AN2453" s="1"/>
      <c r="AO2453" s="1"/>
      <c r="AP2453" s="1"/>
      <c r="AQ2453" s="1"/>
      <c r="AR2453" s="1"/>
      <c r="AS2453" s="1"/>
      <c r="AT2453" s="1"/>
    </row>
    <row r="2454" spans="1:58" x14ac:dyDescent="0.15">
      <c r="A2454" s="2" t="s">
        <v>350</v>
      </c>
      <c r="B2454" s="2" t="s">
        <v>3941</v>
      </c>
      <c r="C2454" s="2" t="s">
        <v>1048</v>
      </c>
      <c r="D2454" s="2" t="s">
        <v>514</v>
      </c>
      <c r="F2454" s="2" t="s">
        <v>209</v>
      </c>
      <c r="G2454" s="2" t="s">
        <v>374</v>
      </c>
      <c r="H2454" s="2" t="str">
        <f t="shared" si="84"/>
        <v>C</v>
      </c>
      <c r="I2454" s="5"/>
      <c r="J2454" s="5"/>
      <c r="K2454" s="5">
        <v>4</v>
      </c>
      <c r="L2454" s="5"/>
      <c r="M2454" s="2" t="s">
        <v>571</v>
      </c>
      <c r="N2454" s="5"/>
      <c r="O2454" s="5"/>
      <c r="P2454" s="5"/>
      <c r="R2454" s="5"/>
      <c r="S2454" s="5"/>
      <c r="V2454" s="5"/>
      <c r="W2454" s="6" t="s">
        <v>4092</v>
      </c>
      <c r="AH2454" s="1"/>
      <c r="AI2454" s="1"/>
      <c r="AJ2454" s="1"/>
      <c r="AK2454" s="1"/>
      <c r="AL2454" s="1"/>
      <c r="AM2454" s="1"/>
      <c r="AN2454" s="1"/>
      <c r="AO2454" s="1"/>
      <c r="AP2454" s="1"/>
      <c r="AQ2454" s="1"/>
      <c r="AR2454" s="1"/>
      <c r="AS2454" s="1"/>
      <c r="AT2454" s="1"/>
    </row>
    <row r="2455" spans="1:58" ht="15" customHeight="1" x14ac:dyDescent="0.15">
      <c r="A2455" s="2" t="s">
        <v>350</v>
      </c>
      <c r="B2455" s="2" t="s">
        <v>3941</v>
      </c>
      <c r="C2455" s="2" t="s">
        <v>1048</v>
      </c>
      <c r="D2455" s="2" t="s">
        <v>514</v>
      </c>
      <c r="F2455" s="2" t="s">
        <v>4032</v>
      </c>
      <c r="G2455" s="2">
        <v>34.9</v>
      </c>
      <c r="H2455" s="2" t="str">
        <f t="shared" si="84"/>
        <v>W</v>
      </c>
      <c r="I2455" s="5">
        <v>22.41</v>
      </c>
      <c r="J2455" s="5">
        <v>1376.32</v>
      </c>
      <c r="K2455" s="5"/>
      <c r="L2455" s="5">
        <v>17.818000000000001</v>
      </c>
      <c r="M2455" s="2" t="s">
        <v>571</v>
      </c>
      <c r="N2455" s="5">
        <v>19.600000000000001</v>
      </c>
      <c r="O2455" s="5">
        <v>19.600000000000001</v>
      </c>
      <c r="P2455" s="5">
        <v>4.47</v>
      </c>
      <c r="Q2455" s="2" t="s">
        <v>18</v>
      </c>
      <c r="R2455" s="5">
        <v>79.650000000000006</v>
      </c>
      <c r="S2455" s="5">
        <f>(R2455/J2455)*100</f>
        <v>5.7871715880027912</v>
      </c>
      <c r="V2455" s="5"/>
      <c r="W2455" s="6" t="s">
        <v>4033</v>
      </c>
    </row>
    <row r="2456" spans="1:58" ht="15" customHeight="1" x14ac:dyDescent="0.15">
      <c r="A2456" s="2" t="s">
        <v>350</v>
      </c>
      <c r="B2456" s="2" t="s">
        <v>3941</v>
      </c>
      <c r="C2456" s="2" t="s">
        <v>1048</v>
      </c>
      <c r="D2456" s="2" t="s">
        <v>4030</v>
      </c>
      <c r="E2456" s="1"/>
      <c r="F2456" s="2" t="s">
        <v>910</v>
      </c>
      <c r="H2456" s="2" t="s">
        <v>3887</v>
      </c>
      <c r="I2456" s="5"/>
      <c r="J2456" s="5"/>
      <c r="K2456" s="5"/>
      <c r="L2456" s="5"/>
      <c r="M2456" s="2" t="s">
        <v>571</v>
      </c>
      <c r="N2456" s="5"/>
      <c r="O2456" s="5"/>
      <c r="P2456" s="5"/>
      <c r="R2456" s="5"/>
      <c r="S2456" s="5"/>
      <c r="V2456" s="5"/>
      <c r="W2456" s="6" t="s">
        <v>838</v>
      </c>
    </row>
    <row r="2457" spans="1:58" ht="15" customHeight="1" x14ac:dyDescent="0.15">
      <c r="A2457" s="2" t="s">
        <v>350</v>
      </c>
      <c r="B2457" s="2" t="s">
        <v>3941</v>
      </c>
      <c r="C2457" s="2" t="s">
        <v>3537</v>
      </c>
      <c r="D2457" s="2" t="s">
        <v>479</v>
      </c>
      <c r="E2457" s="1"/>
      <c r="F2457" s="2" t="s">
        <v>362</v>
      </c>
      <c r="G2457" s="2">
        <v>37</v>
      </c>
      <c r="H2457" s="2" t="str">
        <f t="shared" ref="H2457:H2466" si="85">IF(G2457="captive","C","W")</f>
        <v>W</v>
      </c>
      <c r="I2457" s="5"/>
      <c r="J2457" s="5"/>
      <c r="K2457" s="5"/>
      <c r="L2457" s="5">
        <v>32</v>
      </c>
      <c r="M2457" s="2" t="s">
        <v>571</v>
      </c>
      <c r="N2457" s="5">
        <v>29.47</v>
      </c>
      <c r="O2457" s="5">
        <v>29.47</v>
      </c>
      <c r="P2457" s="5">
        <v>13.6</v>
      </c>
      <c r="Q2457" s="2" t="s">
        <v>18</v>
      </c>
      <c r="R2457" s="5">
        <f>P2457*L2457</f>
        <v>435.2</v>
      </c>
      <c r="S2457" s="5"/>
      <c r="V2457" s="5"/>
      <c r="W2457" s="6" t="s">
        <v>2149</v>
      </c>
      <c r="AH2457" s="1"/>
      <c r="AI2457" s="1"/>
      <c r="AJ2457" s="1"/>
      <c r="AK2457" s="1"/>
      <c r="AL2457" s="1"/>
      <c r="AM2457" s="1"/>
      <c r="AN2457" s="1"/>
    </row>
    <row r="2458" spans="1:58" ht="15" customHeight="1" x14ac:dyDescent="0.15">
      <c r="A2458" s="2" t="s">
        <v>350</v>
      </c>
      <c r="B2458" s="2" t="s">
        <v>3941</v>
      </c>
      <c r="C2458" s="2" t="s">
        <v>3537</v>
      </c>
      <c r="D2458" s="2" t="s">
        <v>479</v>
      </c>
      <c r="E2458" s="1"/>
      <c r="F2458" s="2" t="s">
        <v>361</v>
      </c>
      <c r="G2458" s="2">
        <v>32.4</v>
      </c>
      <c r="H2458" s="2" t="str">
        <f t="shared" si="85"/>
        <v>W</v>
      </c>
      <c r="I2458" s="5"/>
      <c r="J2458" s="5"/>
      <c r="K2458" s="5"/>
      <c r="L2458" s="5">
        <v>37</v>
      </c>
      <c r="M2458" s="2" t="s">
        <v>571</v>
      </c>
      <c r="N2458" s="5"/>
      <c r="O2458" s="5"/>
      <c r="P2458" s="5"/>
      <c r="R2458" s="5"/>
      <c r="S2458" s="5"/>
      <c r="V2458" s="5"/>
      <c r="W2458" s="6" t="s">
        <v>2148</v>
      </c>
      <c r="AH2458" s="1"/>
      <c r="AI2458" s="1"/>
      <c r="AJ2458" s="1"/>
      <c r="AK2458" s="1"/>
      <c r="AL2458" s="1"/>
      <c r="AM2458" s="1"/>
      <c r="AN2458" s="1"/>
    </row>
    <row r="2459" spans="1:58" ht="15" customHeight="1" x14ac:dyDescent="0.15">
      <c r="A2459" s="2" t="s">
        <v>350</v>
      </c>
      <c r="B2459" s="2" t="s">
        <v>3941</v>
      </c>
      <c r="C2459" s="2" t="s">
        <v>3537</v>
      </c>
      <c r="D2459" s="2" t="s">
        <v>479</v>
      </c>
      <c r="E2459" s="1"/>
      <c r="F2459" s="2" t="s">
        <v>480</v>
      </c>
      <c r="G2459" s="2">
        <v>30.4</v>
      </c>
      <c r="H2459" s="2" t="str">
        <f t="shared" si="85"/>
        <v>W</v>
      </c>
      <c r="I2459" s="5"/>
      <c r="J2459" s="5"/>
      <c r="K2459" s="5"/>
      <c r="L2459" s="5">
        <v>8</v>
      </c>
      <c r="M2459" s="5" t="s">
        <v>571</v>
      </c>
      <c r="N2459" s="5">
        <v>23.24</v>
      </c>
      <c r="O2459" s="5">
        <v>23.24</v>
      </c>
      <c r="P2459" s="5">
        <f xml:space="preserve"> 0.637*N2459 + 0.506*O2459 - 19.669</f>
        <v>6.8943199999999969</v>
      </c>
      <c r="Q2459" s="2" t="s">
        <v>376</v>
      </c>
      <c r="R2459" s="5">
        <f>L2459*P2459</f>
        <v>55.154559999999975</v>
      </c>
      <c r="S2459" s="5"/>
      <c r="V2459" s="5"/>
      <c r="W2459" s="6" t="s">
        <v>2543</v>
      </c>
    </row>
    <row r="2460" spans="1:58" ht="15" customHeight="1" x14ac:dyDescent="0.15">
      <c r="A2460" s="2" t="s">
        <v>350</v>
      </c>
      <c r="B2460" s="2" t="s">
        <v>3941</v>
      </c>
      <c r="C2460" s="2" t="s">
        <v>3537</v>
      </c>
      <c r="D2460" s="2" t="s">
        <v>479</v>
      </c>
      <c r="E2460" s="1"/>
      <c r="F2460" s="2" t="s">
        <v>481</v>
      </c>
      <c r="G2460" s="2">
        <v>37.07</v>
      </c>
      <c r="H2460" s="2" t="str">
        <f t="shared" si="85"/>
        <v>W</v>
      </c>
      <c r="I2460" s="5"/>
      <c r="J2460" s="5"/>
      <c r="K2460" s="5"/>
      <c r="L2460" s="5">
        <v>11</v>
      </c>
      <c r="M2460" s="5" t="s">
        <v>571</v>
      </c>
      <c r="N2460" s="5">
        <v>23.5</v>
      </c>
      <c r="O2460" s="5">
        <v>23.5</v>
      </c>
      <c r="P2460" s="5">
        <f xml:space="preserve"> 0.637*N2460 + 0.506*O2460 - 19.669</f>
        <v>7.1915000000000013</v>
      </c>
      <c r="Q2460" s="2" t="s">
        <v>376</v>
      </c>
      <c r="R2460" s="5">
        <f>L2460*P2460</f>
        <v>79.106500000000011</v>
      </c>
      <c r="S2460" s="5"/>
      <c r="W2460" s="6" t="s">
        <v>2543</v>
      </c>
    </row>
    <row r="2461" spans="1:58" x14ac:dyDescent="0.15">
      <c r="A2461" s="2" t="s">
        <v>350</v>
      </c>
      <c r="B2461" s="2" t="s">
        <v>3941</v>
      </c>
      <c r="C2461" s="2" t="s">
        <v>3537</v>
      </c>
      <c r="D2461" s="2" t="s">
        <v>837</v>
      </c>
      <c r="E2461" s="1"/>
      <c r="F2461" s="2" t="s">
        <v>208</v>
      </c>
      <c r="G2461" s="2" t="s">
        <v>374</v>
      </c>
      <c r="H2461" s="2" t="str">
        <f t="shared" si="85"/>
        <v>C</v>
      </c>
      <c r="I2461" s="5">
        <v>100</v>
      </c>
      <c r="J2461" s="5">
        <v>65777</v>
      </c>
      <c r="K2461" s="5"/>
      <c r="L2461" s="5">
        <v>56.75</v>
      </c>
      <c r="M2461" s="2" t="s">
        <v>571</v>
      </c>
      <c r="N2461" s="5">
        <v>30</v>
      </c>
      <c r="O2461" s="5">
        <v>30</v>
      </c>
      <c r="P2461" s="7">
        <v>16.655000000000001</v>
      </c>
      <c r="Q2461" s="2" t="s">
        <v>376</v>
      </c>
      <c r="R2461" s="5">
        <f>P2461*L2461</f>
        <v>945.1712500000001</v>
      </c>
      <c r="S2461" s="5">
        <f>(R2461/J2461)*100</f>
        <v>1.4369327424479683</v>
      </c>
      <c r="T2461" s="2" t="s">
        <v>372</v>
      </c>
      <c r="U2461" s="40" t="s">
        <v>395</v>
      </c>
      <c r="W2461" s="6" t="s">
        <v>3554</v>
      </c>
      <c r="Y2461" s="28"/>
      <c r="AM2461" s="29"/>
    </row>
    <row r="2462" spans="1:58" x14ac:dyDescent="0.15">
      <c r="A2462" s="2" t="s">
        <v>350</v>
      </c>
      <c r="B2462" s="2" t="s">
        <v>3941</v>
      </c>
      <c r="C2462" s="2" t="s">
        <v>3538</v>
      </c>
      <c r="D2462" s="2" t="s">
        <v>457</v>
      </c>
      <c r="E2462" s="1"/>
      <c r="F2462" s="2" t="s">
        <v>3368</v>
      </c>
      <c r="G2462" s="2">
        <v>36.69</v>
      </c>
      <c r="H2462" s="2" t="str">
        <f t="shared" si="85"/>
        <v>W</v>
      </c>
      <c r="I2462" s="5">
        <v>50.6</v>
      </c>
      <c r="J2462" s="5">
        <f xml:space="preserve"> 0.0822*I2462^2.9516</f>
        <v>8807.2937787850951</v>
      </c>
      <c r="K2462" s="5"/>
      <c r="L2462" s="7">
        <f>MEDIAN(8,34)</f>
        <v>21</v>
      </c>
      <c r="M2462" s="2" t="s">
        <v>571</v>
      </c>
      <c r="N2462" s="5">
        <v>35.299999999999997</v>
      </c>
      <c r="O2462" s="5">
        <v>35.299999999999997</v>
      </c>
      <c r="P2462" s="5">
        <f xml:space="preserve"> 0.158*N2462 + 1.228*O2462 - 23.513</f>
        <v>25.412799999999994</v>
      </c>
      <c r="Q2462" s="2" t="s">
        <v>376</v>
      </c>
      <c r="R2462" s="5">
        <f>P2462*L2462</f>
        <v>533.66879999999992</v>
      </c>
      <c r="S2462" s="5">
        <f>(R2462/J2462)*100</f>
        <v>6.0593959212022082</v>
      </c>
      <c r="W2462" s="6" t="s">
        <v>3367</v>
      </c>
      <c r="Y2462" s="28"/>
      <c r="AM2462" s="29"/>
    </row>
    <row r="2463" spans="1:58" x14ac:dyDescent="0.15">
      <c r="A2463" s="2" t="s">
        <v>350</v>
      </c>
      <c r="B2463" s="2" t="s">
        <v>3941</v>
      </c>
      <c r="C2463" s="2" t="s">
        <v>3538</v>
      </c>
      <c r="D2463" s="2" t="s">
        <v>457</v>
      </c>
      <c r="E2463" s="1"/>
      <c r="F2463" s="2" t="s">
        <v>364</v>
      </c>
      <c r="G2463" s="2">
        <v>36.700000000000003</v>
      </c>
      <c r="H2463" s="2" t="str">
        <f t="shared" si="85"/>
        <v>W</v>
      </c>
      <c r="I2463" s="5"/>
      <c r="J2463" s="5"/>
      <c r="K2463" s="5"/>
      <c r="L2463" s="5">
        <f>686/22</f>
        <v>31.181818181818183</v>
      </c>
      <c r="M2463" s="2" t="s">
        <v>571</v>
      </c>
      <c r="N2463" s="5"/>
      <c r="O2463" s="5"/>
      <c r="P2463" s="5"/>
      <c r="R2463" s="5"/>
      <c r="S2463" s="5"/>
      <c r="W2463" s="6" t="s">
        <v>2150</v>
      </c>
      <c r="AM2463" s="29"/>
    </row>
    <row r="2464" spans="1:58" x14ac:dyDescent="0.15">
      <c r="A2464" s="2" t="s">
        <v>350</v>
      </c>
      <c r="B2464" s="2" t="s">
        <v>3941</v>
      </c>
      <c r="C2464" s="2" t="s">
        <v>3538</v>
      </c>
      <c r="D2464" s="2" t="s">
        <v>457</v>
      </c>
      <c r="E2464" s="1"/>
      <c r="F2464" s="2" t="s">
        <v>462</v>
      </c>
      <c r="G2464" s="2">
        <v>38.5</v>
      </c>
      <c r="H2464" s="2" t="str">
        <f t="shared" si="85"/>
        <v>W</v>
      </c>
      <c r="I2464" s="5"/>
      <c r="J2464" s="5"/>
      <c r="K2464" s="5"/>
      <c r="L2464" s="5"/>
      <c r="M2464" s="5" t="s">
        <v>571</v>
      </c>
      <c r="N2464" s="5">
        <v>34.14</v>
      </c>
      <c r="O2464" s="5">
        <v>33.130000000000003</v>
      </c>
      <c r="P2464" s="5">
        <f xml:space="preserve"> 0.158*N2464 + 1.228*O2464 - 23.513</f>
        <v>22.564760000000003</v>
      </c>
      <c r="Q2464" s="2" t="s">
        <v>376</v>
      </c>
      <c r="R2464" s="5"/>
      <c r="S2464" s="5"/>
      <c r="W2464" s="6" t="s">
        <v>2542</v>
      </c>
      <c r="AM2464" s="29"/>
    </row>
    <row r="2465" spans="1:58" x14ac:dyDescent="0.15">
      <c r="A2465" s="2" t="s">
        <v>350</v>
      </c>
      <c r="B2465" s="2" t="s">
        <v>3941</v>
      </c>
      <c r="C2465" s="2" t="s">
        <v>3538</v>
      </c>
      <c r="D2465" s="2" t="s">
        <v>457</v>
      </c>
      <c r="E2465" s="1"/>
      <c r="F2465" s="2" t="s">
        <v>363</v>
      </c>
      <c r="G2465" s="2">
        <v>32.4</v>
      </c>
      <c r="H2465" s="2" t="str">
        <f t="shared" si="85"/>
        <v>W</v>
      </c>
      <c r="I2465" s="5"/>
      <c r="J2465" s="5"/>
      <c r="K2465" s="5"/>
      <c r="L2465" s="5">
        <v>40</v>
      </c>
      <c r="M2465" s="2" t="s">
        <v>571</v>
      </c>
      <c r="N2465" s="5">
        <v>30</v>
      </c>
      <c r="O2465" s="5">
        <v>30</v>
      </c>
      <c r="P2465" s="5">
        <v>17.82</v>
      </c>
      <c r="Q2465" s="2" t="s">
        <v>18</v>
      </c>
      <c r="R2465" s="5">
        <f>P2465*L2465</f>
        <v>712.8</v>
      </c>
      <c r="S2465" s="5"/>
      <c r="W2465" s="6" t="s">
        <v>4034</v>
      </c>
      <c r="AC2465" s="1"/>
      <c r="AD2465" s="1"/>
      <c r="AE2465" s="1"/>
      <c r="AF2465" s="1"/>
      <c r="AG2465" s="1"/>
      <c r="AM2465" s="29"/>
      <c r="BA2465" s="1"/>
      <c r="BB2465" s="1"/>
      <c r="BC2465" s="1"/>
      <c r="BD2465" s="1"/>
      <c r="BE2465" s="1"/>
      <c r="BF2465" s="1"/>
    </row>
    <row r="2466" spans="1:58" x14ac:dyDescent="0.15">
      <c r="A2466" s="2" t="s">
        <v>350</v>
      </c>
      <c r="B2466" s="2" t="s">
        <v>3941</v>
      </c>
      <c r="C2466" s="2" t="s">
        <v>3538</v>
      </c>
      <c r="D2466" s="2" t="s">
        <v>457</v>
      </c>
      <c r="E2466" s="1"/>
      <c r="F2466" s="2" t="s">
        <v>484</v>
      </c>
      <c r="G2466" s="2">
        <v>-1.5</v>
      </c>
      <c r="H2466" s="2" t="str">
        <f t="shared" si="85"/>
        <v>W</v>
      </c>
      <c r="I2466" s="5"/>
      <c r="J2466" s="5"/>
      <c r="K2466" s="5"/>
      <c r="L2466" s="5"/>
      <c r="M2466" s="5" t="s">
        <v>571</v>
      </c>
      <c r="N2466" s="5">
        <v>36.5</v>
      </c>
      <c r="O2466" s="5">
        <v>36.5</v>
      </c>
      <c r="P2466" s="5">
        <v>24.8</v>
      </c>
      <c r="Q2466" s="2" t="s">
        <v>18</v>
      </c>
      <c r="R2466" s="5"/>
      <c r="S2466" s="5"/>
      <c r="W2466" s="6" t="s">
        <v>2541</v>
      </c>
      <c r="AC2466" s="1"/>
      <c r="AD2466" s="1"/>
      <c r="AE2466" s="1"/>
      <c r="AF2466" s="1"/>
      <c r="AG2466" s="1"/>
      <c r="AM2466" s="29"/>
      <c r="AU2466" s="1"/>
      <c r="AV2466" s="1"/>
      <c r="AW2466" s="1"/>
      <c r="AX2466" s="1"/>
      <c r="AY2466" s="1"/>
      <c r="AZ2466" s="1"/>
      <c r="BA2466" s="30"/>
      <c r="BB2466" s="30"/>
      <c r="BC2466" s="30"/>
      <c r="BD2466" s="30"/>
      <c r="BE2466" s="30"/>
      <c r="BF2466" s="30"/>
    </row>
    <row r="2467" spans="1:58" x14ac:dyDescent="0.15">
      <c r="AM2467" s="29"/>
    </row>
    <row r="2468" spans="1:58" x14ac:dyDescent="0.15">
      <c r="AM2468" s="29"/>
    </row>
    <row r="2469" spans="1:58" x14ac:dyDescent="0.15">
      <c r="AM2469" s="29"/>
    </row>
    <row r="2470" spans="1:58" x14ac:dyDescent="0.15">
      <c r="AM2470" s="29"/>
    </row>
    <row r="2471" spans="1:58" x14ac:dyDescent="0.15">
      <c r="AM2471" s="29"/>
    </row>
    <row r="2472" spans="1:58" x14ac:dyDescent="0.15">
      <c r="AM2472" s="29"/>
    </row>
    <row r="2473" spans="1:58" x14ac:dyDescent="0.15">
      <c r="AM2473" s="29"/>
    </row>
    <row r="2474" spans="1:58" x14ac:dyDescent="0.15">
      <c r="AM2474" s="29"/>
    </row>
    <row r="2475" spans="1:58" x14ac:dyDescent="0.15">
      <c r="AM2475" s="29"/>
    </row>
    <row r="2476" spans="1:58" x14ac:dyDescent="0.15">
      <c r="AM2476" s="29"/>
    </row>
    <row r="2477" spans="1:58" x14ac:dyDescent="0.15">
      <c r="AM2477" s="29"/>
    </row>
    <row r="2478" spans="1:58" x14ac:dyDescent="0.15">
      <c r="AM2478" s="29"/>
    </row>
    <row r="2479" spans="1:58" x14ac:dyDescent="0.15">
      <c r="AM2479" s="29"/>
    </row>
    <row r="2480" spans="1:58" x14ac:dyDescent="0.15">
      <c r="AM2480" s="29"/>
    </row>
    <row r="2481" spans="39:39" x14ac:dyDescent="0.15">
      <c r="AM2481" s="29"/>
    </row>
    <row r="2482" spans="39:39" x14ac:dyDescent="0.15">
      <c r="AM2482" s="29"/>
    </row>
    <row r="2483" spans="39:39" x14ac:dyDescent="0.15">
      <c r="AM2483" s="29"/>
    </row>
    <row r="2484" spans="39:39" x14ac:dyDescent="0.15">
      <c r="AM2484" s="29"/>
    </row>
    <row r="2485" spans="39:39" x14ac:dyDescent="0.15">
      <c r="AM2485" s="29"/>
    </row>
    <row r="2486" spans="39:39" x14ac:dyDescent="0.15">
      <c r="AM2486" s="29"/>
    </row>
    <row r="2487" spans="39:39" x14ac:dyDescent="0.15">
      <c r="AM2487" s="29"/>
    </row>
    <row r="2488" spans="39:39" x14ac:dyDescent="0.15">
      <c r="AM2488" s="29"/>
    </row>
    <row r="2489" spans="39:39" x14ac:dyDescent="0.15">
      <c r="AM2489" s="29"/>
    </row>
    <row r="2490" spans="39:39" x14ac:dyDescent="0.15">
      <c r="AM2490" s="29"/>
    </row>
    <row r="2491" spans="39:39" x14ac:dyDescent="0.15">
      <c r="AM2491" s="29"/>
    </row>
    <row r="2492" spans="39:39" x14ac:dyDescent="0.15">
      <c r="AM2492" s="29"/>
    </row>
    <row r="2493" spans="39:39" x14ac:dyDescent="0.15">
      <c r="AM2493" s="29"/>
    </row>
    <row r="2494" spans="39:39" x14ac:dyDescent="0.15">
      <c r="AM2494" s="29"/>
    </row>
    <row r="2495" spans="39:39" x14ac:dyDescent="0.15">
      <c r="AM2495" s="29"/>
    </row>
    <row r="2496" spans="39:39" x14ac:dyDescent="0.15">
      <c r="AM2496" s="29"/>
    </row>
    <row r="2497" spans="39:39" x14ac:dyDescent="0.15">
      <c r="AM2497" s="29"/>
    </row>
    <row r="2498" spans="39:39" x14ac:dyDescent="0.15">
      <c r="AM2498" s="29"/>
    </row>
    <row r="2499" spans="39:39" x14ac:dyDescent="0.15">
      <c r="AM2499" s="29"/>
    </row>
    <row r="2500" spans="39:39" x14ac:dyDescent="0.15">
      <c r="AM2500" s="29"/>
    </row>
    <row r="2501" spans="39:39" x14ac:dyDescent="0.15">
      <c r="AM2501" s="29"/>
    </row>
    <row r="2502" spans="39:39" x14ac:dyDescent="0.15">
      <c r="AM2502" s="29"/>
    </row>
    <row r="2503" spans="39:39" x14ac:dyDescent="0.15">
      <c r="AM2503" s="29"/>
    </row>
    <row r="2504" spans="39:39" x14ac:dyDescent="0.15">
      <c r="AM2504" s="29"/>
    </row>
    <row r="2505" spans="39:39" x14ac:dyDescent="0.15">
      <c r="AM2505" s="29"/>
    </row>
    <row r="2506" spans="39:39" x14ac:dyDescent="0.15">
      <c r="AM2506" s="29"/>
    </row>
    <row r="2507" spans="39:39" x14ac:dyDescent="0.15">
      <c r="AM2507" s="29"/>
    </row>
    <row r="2508" spans="39:39" x14ac:dyDescent="0.15">
      <c r="AM2508" s="29"/>
    </row>
    <row r="2509" spans="39:39" x14ac:dyDescent="0.15">
      <c r="AM2509" s="29"/>
    </row>
    <row r="2510" spans="39:39" x14ac:dyDescent="0.15">
      <c r="AM2510" s="29"/>
    </row>
    <row r="2511" spans="39:39" x14ac:dyDescent="0.15">
      <c r="AM2511" s="29"/>
    </row>
    <row r="2512" spans="39:39" x14ac:dyDescent="0.15">
      <c r="AM2512" s="29"/>
    </row>
    <row r="2513" spans="39:39" x14ac:dyDescent="0.15">
      <c r="AM2513" s="29"/>
    </row>
    <row r="2514" spans="39:39" x14ac:dyDescent="0.15">
      <c r="AM2514" s="29"/>
    </row>
    <row r="2515" spans="39:39" x14ac:dyDescent="0.15">
      <c r="AM2515" s="29"/>
    </row>
    <row r="2516" spans="39:39" x14ac:dyDescent="0.15">
      <c r="AM2516" s="29"/>
    </row>
    <row r="2517" spans="39:39" x14ac:dyDescent="0.15">
      <c r="AM2517" s="29"/>
    </row>
    <row r="2518" spans="39:39" x14ac:dyDescent="0.15">
      <c r="AM2518" s="29"/>
    </row>
    <row r="2519" spans="39:39" x14ac:dyDescent="0.15">
      <c r="AM2519" s="29"/>
    </row>
    <row r="2520" spans="39:39" x14ac:dyDescent="0.15">
      <c r="AM2520" s="29"/>
    </row>
    <row r="2521" spans="39:39" x14ac:dyDescent="0.15">
      <c r="AM2521" s="29"/>
    </row>
    <row r="2522" spans="39:39" x14ac:dyDescent="0.15">
      <c r="AM2522" s="29"/>
    </row>
    <row r="2523" spans="39:39" x14ac:dyDescent="0.15">
      <c r="AM2523" s="29"/>
    </row>
    <row r="2524" spans="39:39" x14ac:dyDescent="0.15">
      <c r="AM2524" s="29"/>
    </row>
    <row r="2525" spans="39:39" x14ac:dyDescent="0.15">
      <c r="AM2525" s="29"/>
    </row>
    <row r="2526" spans="39:39" x14ac:dyDescent="0.15">
      <c r="AM2526" s="29"/>
    </row>
    <row r="2527" spans="39:39" x14ac:dyDescent="0.15">
      <c r="AM2527" s="29"/>
    </row>
    <row r="2528" spans="39:39" x14ac:dyDescent="0.15">
      <c r="AM2528" s="29"/>
    </row>
  </sheetData>
  <autoFilter ref="A1:BF2531" xr:uid="{00000000-0009-0000-0000-000000000000}"/>
  <sortState xmlns:xlrd2="http://schemas.microsoft.com/office/spreadsheetml/2017/richdata2" ref="A2:BS2488">
    <sortCondition ref="A2:A2488"/>
    <sortCondition ref="D2:D2488"/>
    <sortCondition ref="W2:W2488"/>
  </sortState>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98"/>
  <sheetViews>
    <sheetView topLeftCell="A201" workbookViewId="0">
      <selection activeCell="O228" sqref="O228"/>
    </sheetView>
  </sheetViews>
  <sheetFormatPr baseColWidth="10" defaultRowHeight="13" x14ac:dyDescent="0.15"/>
  <cols>
    <col min="1" max="1" width="10.83203125" style="51"/>
    <col min="2" max="3" width="14.33203125" style="51" customWidth="1"/>
    <col min="4" max="4" width="13.1640625" style="51" customWidth="1"/>
    <col min="5" max="5" width="13" style="51" customWidth="1"/>
    <col min="6" max="6" width="14" style="51" customWidth="1"/>
    <col min="7" max="7" width="17.83203125" style="51" customWidth="1"/>
    <col min="8" max="8" width="13" style="51" customWidth="1"/>
    <col min="9" max="16384" width="10.83203125" style="51"/>
  </cols>
  <sheetData>
    <row r="1" spans="1:11" x14ac:dyDescent="0.15">
      <c r="A1" s="51" t="s">
        <v>3956</v>
      </c>
      <c r="B1" s="51" t="s">
        <v>3957</v>
      </c>
      <c r="C1" s="51" t="s">
        <v>3958</v>
      </c>
      <c r="D1" s="51" t="s">
        <v>4153</v>
      </c>
      <c r="E1" s="51" t="s">
        <v>903</v>
      </c>
      <c r="F1" s="51" t="s">
        <v>4154</v>
      </c>
      <c r="G1" s="51" t="s">
        <v>903</v>
      </c>
      <c r="H1" s="51" t="s">
        <v>4155</v>
      </c>
      <c r="I1" s="51" t="s">
        <v>4156</v>
      </c>
      <c r="J1" s="51" t="s">
        <v>4157</v>
      </c>
      <c r="K1" s="51" t="s">
        <v>903</v>
      </c>
    </row>
    <row r="3" spans="1:11" x14ac:dyDescent="0.15">
      <c r="A3" s="52" t="s">
        <v>4158</v>
      </c>
      <c r="B3" s="52"/>
      <c r="C3" s="52"/>
    </row>
    <row r="5" spans="1:11" x14ac:dyDescent="0.15">
      <c r="A5" s="51" t="s">
        <v>16</v>
      </c>
      <c r="B5" s="51" t="s">
        <v>914</v>
      </c>
      <c r="C5" s="51" t="s">
        <v>915</v>
      </c>
      <c r="F5" s="52">
        <v>40.4</v>
      </c>
      <c r="G5" s="51" t="s">
        <v>4159</v>
      </c>
      <c r="J5" s="52">
        <v>38.4</v>
      </c>
      <c r="K5" s="51" t="s">
        <v>4160</v>
      </c>
    </row>
    <row r="6" spans="1:11" x14ac:dyDescent="0.15">
      <c r="A6" s="51" t="s">
        <v>25</v>
      </c>
      <c r="B6" s="51" t="s">
        <v>1050</v>
      </c>
      <c r="C6" s="51" t="s">
        <v>1051</v>
      </c>
    </row>
    <row r="7" spans="1:11" x14ac:dyDescent="0.15">
      <c r="A7" s="51" t="s">
        <v>25</v>
      </c>
      <c r="B7" s="51" t="s">
        <v>1050</v>
      </c>
      <c r="C7" s="51" t="s">
        <v>1067</v>
      </c>
      <c r="J7" s="51" t="s">
        <v>4161</v>
      </c>
      <c r="K7" s="51" t="s">
        <v>4161</v>
      </c>
    </row>
    <row r="8" spans="1:11" x14ac:dyDescent="0.15">
      <c r="A8" s="51" t="s">
        <v>25</v>
      </c>
      <c r="B8" s="51" t="s">
        <v>1050</v>
      </c>
      <c r="C8" s="51" t="s">
        <v>3653</v>
      </c>
    </row>
    <row r="9" spans="1:11" x14ac:dyDescent="0.15">
      <c r="A9" s="51" t="s">
        <v>25</v>
      </c>
      <c r="B9" s="51" t="s">
        <v>1050</v>
      </c>
      <c r="C9" s="51" t="s">
        <v>1068</v>
      </c>
      <c r="F9" s="52">
        <v>12</v>
      </c>
      <c r="G9" s="51" t="s">
        <v>3975</v>
      </c>
    </row>
    <row r="10" spans="1:11" x14ac:dyDescent="0.15">
      <c r="A10" s="51" t="s">
        <v>25</v>
      </c>
      <c r="B10" s="51" t="s">
        <v>1052</v>
      </c>
      <c r="C10" s="51" t="s">
        <v>3654</v>
      </c>
    </row>
    <row r="11" spans="1:11" x14ac:dyDescent="0.15">
      <c r="A11" s="51" t="s">
        <v>25</v>
      </c>
      <c r="B11" s="51" t="s">
        <v>1052</v>
      </c>
      <c r="C11" s="51" t="s">
        <v>3655</v>
      </c>
    </row>
    <row r="12" spans="1:11" x14ac:dyDescent="0.15">
      <c r="A12" s="51" t="s">
        <v>25</v>
      </c>
      <c r="B12" s="51" t="s">
        <v>1052</v>
      </c>
      <c r="C12" s="51" t="s">
        <v>1053</v>
      </c>
      <c r="J12" s="51" t="s">
        <v>4161</v>
      </c>
      <c r="K12" s="51" t="s">
        <v>4161</v>
      </c>
    </row>
    <row r="13" spans="1:11" x14ac:dyDescent="0.15">
      <c r="A13" s="51" t="s">
        <v>25</v>
      </c>
      <c r="B13" s="51" t="s">
        <v>1052</v>
      </c>
      <c r="C13" s="51" t="s">
        <v>3656</v>
      </c>
    </row>
    <row r="14" spans="1:11" x14ac:dyDescent="0.15">
      <c r="A14" s="51" t="s">
        <v>25</v>
      </c>
      <c r="B14" s="51" t="s">
        <v>1052</v>
      </c>
      <c r="C14" s="51" t="s">
        <v>3657</v>
      </c>
    </row>
    <row r="15" spans="1:11" x14ac:dyDescent="0.15">
      <c r="A15" s="51" t="s">
        <v>25</v>
      </c>
      <c r="B15" s="51" t="s">
        <v>1052</v>
      </c>
      <c r="C15" s="51" t="s">
        <v>4016</v>
      </c>
    </row>
    <row r="16" spans="1:11" x14ac:dyDescent="0.15">
      <c r="A16" s="51" t="s">
        <v>25</v>
      </c>
      <c r="B16" s="51" t="s">
        <v>1052</v>
      </c>
      <c r="C16" s="51" t="s">
        <v>1055</v>
      </c>
      <c r="F16" s="52">
        <v>67</v>
      </c>
      <c r="G16" s="51" t="s">
        <v>1598</v>
      </c>
      <c r="J16" s="52">
        <v>63</v>
      </c>
      <c r="K16" s="51" t="s">
        <v>4162</v>
      </c>
    </row>
    <row r="17" spans="1:11" x14ac:dyDescent="0.15">
      <c r="A17" s="51" t="s">
        <v>25</v>
      </c>
      <c r="B17" s="51" t="s">
        <v>1052</v>
      </c>
      <c r="C17" s="51" t="s">
        <v>934</v>
      </c>
      <c r="J17" s="51" t="s">
        <v>4161</v>
      </c>
      <c r="K17" s="51" t="s">
        <v>4161</v>
      </c>
    </row>
    <row r="18" spans="1:11" x14ac:dyDescent="0.15">
      <c r="A18" s="51" t="s">
        <v>25</v>
      </c>
      <c r="B18" s="51" t="s">
        <v>1052</v>
      </c>
      <c r="C18" s="51" t="s">
        <v>3658</v>
      </c>
      <c r="F18" s="52">
        <v>11.1</v>
      </c>
      <c r="G18" s="51" t="s">
        <v>4159</v>
      </c>
    </row>
    <row r="19" spans="1:11" x14ac:dyDescent="0.15">
      <c r="A19" s="51" t="s">
        <v>25</v>
      </c>
      <c r="B19" s="51" t="s">
        <v>1052</v>
      </c>
      <c r="C19" s="51" t="s">
        <v>3659</v>
      </c>
      <c r="F19" s="52">
        <v>14.1</v>
      </c>
      <c r="G19" s="51" t="s">
        <v>4159</v>
      </c>
    </row>
    <row r="20" spans="1:11" x14ac:dyDescent="0.15">
      <c r="A20" s="51" t="s">
        <v>25</v>
      </c>
      <c r="B20" s="51" t="s">
        <v>1052</v>
      </c>
      <c r="C20" s="51" t="s">
        <v>3660</v>
      </c>
      <c r="F20" s="52">
        <v>45</v>
      </c>
      <c r="G20" s="51" t="s">
        <v>4163</v>
      </c>
      <c r="J20" s="51" t="s">
        <v>4161</v>
      </c>
      <c r="K20" s="51" t="s">
        <v>4161</v>
      </c>
    </row>
    <row r="21" spans="1:11" x14ac:dyDescent="0.15">
      <c r="A21" s="51" t="s">
        <v>25</v>
      </c>
      <c r="B21" s="51" t="s">
        <v>1052</v>
      </c>
      <c r="C21" s="51" t="s">
        <v>3661</v>
      </c>
    </row>
    <row r="22" spans="1:11" x14ac:dyDescent="0.15">
      <c r="A22" s="51" t="s">
        <v>25</v>
      </c>
      <c r="B22" s="51" t="s">
        <v>1052</v>
      </c>
      <c r="C22" s="51" t="s">
        <v>3662</v>
      </c>
    </row>
    <row r="23" spans="1:11" x14ac:dyDescent="0.15">
      <c r="A23" s="51" t="s">
        <v>25</v>
      </c>
      <c r="B23" s="51" t="s">
        <v>1052</v>
      </c>
      <c r="C23" s="51" t="s">
        <v>3663</v>
      </c>
    </row>
    <row r="24" spans="1:11" x14ac:dyDescent="0.15">
      <c r="A24" s="51" t="s">
        <v>25</v>
      </c>
      <c r="B24" s="51" t="s">
        <v>1052</v>
      </c>
      <c r="C24" s="51" t="s">
        <v>3664</v>
      </c>
    </row>
    <row r="25" spans="1:11" x14ac:dyDescent="0.15">
      <c r="A25" s="51" t="s">
        <v>25</v>
      </c>
      <c r="B25" s="51" t="s">
        <v>1052</v>
      </c>
      <c r="C25" s="51" t="s">
        <v>3665</v>
      </c>
    </row>
    <row r="26" spans="1:11" x14ac:dyDescent="0.15">
      <c r="A26" s="51" t="s">
        <v>25</v>
      </c>
      <c r="B26" s="51" t="s">
        <v>1056</v>
      </c>
      <c r="C26" s="51" t="s">
        <v>3962</v>
      </c>
      <c r="F26" s="52">
        <v>35.799999999999997</v>
      </c>
      <c r="G26" s="51" t="s">
        <v>4159</v>
      </c>
      <c r="J26" s="52">
        <v>31</v>
      </c>
      <c r="K26" s="51" t="s">
        <v>4164</v>
      </c>
    </row>
    <row r="27" spans="1:11" x14ac:dyDescent="0.15">
      <c r="A27" s="51" t="s">
        <v>25</v>
      </c>
      <c r="B27" s="51" t="s">
        <v>1056</v>
      </c>
      <c r="C27" s="51" t="s">
        <v>3666</v>
      </c>
    </row>
    <row r="28" spans="1:11" x14ac:dyDescent="0.15">
      <c r="A28" s="51" t="s">
        <v>25</v>
      </c>
      <c r="B28" s="51" t="s">
        <v>1058</v>
      </c>
      <c r="C28" s="51" t="s">
        <v>3667</v>
      </c>
      <c r="F28" s="52">
        <v>30</v>
      </c>
      <c r="G28" s="51" t="s">
        <v>4165</v>
      </c>
    </row>
    <row r="29" spans="1:11" x14ac:dyDescent="0.15">
      <c r="A29" s="51" t="s">
        <v>25</v>
      </c>
      <c r="B29" s="51" t="s">
        <v>1058</v>
      </c>
      <c r="C29" s="51" t="s">
        <v>3668</v>
      </c>
    </row>
    <row r="30" spans="1:11" x14ac:dyDescent="0.15">
      <c r="A30" s="51" t="s">
        <v>25</v>
      </c>
      <c r="B30" s="51" t="s">
        <v>1058</v>
      </c>
      <c r="C30" s="51" t="s">
        <v>938</v>
      </c>
      <c r="F30" s="52">
        <v>21.8</v>
      </c>
      <c r="G30" s="51" t="s">
        <v>4159</v>
      </c>
    </row>
    <row r="31" spans="1:11" x14ac:dyDescent="0.15">
      <c r="A31" s="51" t="s">
        <v>25</v>
      </c>
      <c r="B31" s="51" t="s">
        <v>1058</v>
      </c>
      <c r="C31" s="51" t="s">
        <v>3669</v>
      </c>
    </row>
    <row r="32" spans="1:11" x14ac:dyDescent="0.15">
      <c r="A32" s="51" t="s">
        <v>25</v>
      </c>
      <c r="B32" s="51" t="s">
        <v>1058</v>
      </c>
      <c r="C32" s="51" t="s">
        <v>3656</v>
      </c>
    </row>
    <row r="33" spans="1:11" x14ac:dyDescent="0.15">
      <c r="A33" s="51" t="s">
        <v>25</v>
      </c>
      <c r="B33" s="51" t="s">
        <v>1058</v>
      </c>
      <c r="C33" s="51" t="s">
        <v>3670</v>
      </c>
    </row>
    <row r="34" spans="1:11" x14ac:dyDescent="0.15">
      <c r="A34" s="51" t="s">
        <v>25</v>
      </c>
      <c r="B34" s="51" t="s">
        <v>1058</v>
      </c>
      <c r="C34" s="51" t="s">
        <v>3671</v>
      </c>
    </row>
    <row r="35" spans="1:11" x14ac:dyDescent="0.15">
      <c r="A35" s="51" t="s">
        <v>25</v>
      </c>
      <c r="B35" s="51" t="s">
        <v>1058</v>
      </c>
      <c r="C35" s="51" t="s">
        <v>3658</v>
      </c>
      <c r="F35" s="52">
        <v>15.8</v>
      </c>
      <c r="G35" s="51" t="s">
        <v>4159</v>
      </c>
    </row>
    <row r="36" spans="1:11" x14ac:dyDescent="0.15">
      <c r="A36" s="51" t="s">
        <v>25</v>
      </c>
      <c r="B36" s="51" t="s">
        <v>3468</v>
      </c>
      <c r="C36" s="51" t="s">
        <v>3674</v>
      </c>
    </row>
    <row r="37" spans="1:11" x14ac:dyDescent="0.15">
      <c r="A37" s="51" t="s">
        <v>25</v>
      </c>
      <c r="B37" s="51" t="s">
        <v>1059</v>
      </c>
      <c r="C37" s="51" t="s">
        <v>3672</v>
      </c>
    </row>
    <row r="38" spans="1:11" x14ac:dyDescent="0.15">
      <c r="A38" s="51" t="s">
        <v>25</v>
      </c>
      <c r="B38" s="51" t="s">
        <v>1059</v>
      </c>
      <c r="C38" s="51" t="s">
        <v>3673</v>
      </c>
    </row>
    <row r="39" spans="1:11" x14ac:dyDescent="0.15">
      <c r="A39" s="51" t="s">
        <v>25</v>
      </c>
      <c r="B39" s="51" t="s">
        <v>1059</v>
      </c>
      <c r="C39" s="51" t="s">
        <v>3675</v>
      </c>
      <c r="F39" s="52">
        <v>25.5</v>
      </c>
      <c r="G39" s="51" t="s">
        <v>4159</v>
      </c>
      <c r="J39" s="52">
        <v>20.9</v>
      </c>
      <c r="K39" s="51" t="s">
        <v>4160</v>
      </c>
    </row>
    <row r="40" spans="1:11" x14ac:dyDescent="0.15">
      <c r="A40" s="51" t="s">
        <v>25</v>
      </c>
      <c r="B40" s="51" t="s">
        <v>1059</v>
      </c>
      <c r="C40" s="51" t="s">
        <v>1060</v>
      </c>
      <c r="J40" s="51" t="s">
        <v>4161</v>
      </c>
    </row>
    <row r="41" spans="1:11" x14ac:dyDescent="0.15">
      <c r="A41" s="51" t="s">
        <v>25</v>
      </c>
      <c r="B41" s="51" t="s">
        <v>1059</v>
      </c>
      <c r="C41" s="51" t="s">
        <v>3676</v>
      </c>
      <c r="J41" s="51" t="s">
        <v>4161</v>
      </c>
    </row>
    <row r="42" spans="1:11" x14ac:dyDescent="0.15">
      <c r="A42" s="51" t="s">
        <v>25</v>
      </c>
      <c r="B42" s="51" t="s">
        <v>1059</v>
      </c>
      <c r="C42" s="51" t="s">
        <v>3677</v>
      </c>
    </row>
    <row r="43" spans="1:11" x14ac:dyDescent="0.15">
      <c r="A43" s="51" t="s">
        <v>25</v>
      </c>
      <c r="B43" s="51" t="s">
        <v>1061</v>
      </c>
      <c r="C43" s="51" t="s">
        <v>3688</v>
      </c>
    </row>
    <row r="44" spans="1:11" x14ac:dyDescent="0.15">
      <c r="A44" s="51" t="s">
        <v>25</v>
      </c>
      <c r="B44" s="51" t="s">
        <v>3471</v>
      </c>
      <c r="C44" s="51" t="s">
        <v>3678</v>
      </c>
      <c r="F44" s="52">
        <v>11.9</v>
      </c>
      <c r="G44" s="51" t="s">
        <v>3975</v>
      </c>
      <c r="H44" s="52">
        <v>100</v>
      </c>
      <c r="I44" s="51" t="s">
        <v>3963</v>
      </c>
    </row>
    <row r="45" spans="1:11" x14ac:dyDescent="0.15">
      <c r="A45" s="51" t="s">
        <v>25</v>
      </c>
      <c r="B45" s="51" t="s">
        <v>3471</v>
      </c>
      <c r="C45" s="51" t="s">
        <v>3679</v>
      </c>
      <c r="F45" s="52">
        <v>25</v>
      </c>
      <c r="G45" s="51" t="s">
        <v>3964</v>
      </c>
    </row>
    <row r="46" spans="1:11" x14ac:dyDescent="0.15">
      <c r="A46" s="51" t="s">
        <v>25</v>
      </c>
      <c r="B46" s="51" t="s">
        <v>1065</v>
      </c>
      <c r="C46" s="51" t="s">
        <v>3680</v>
      </c>
      <c r="F46" s="52">
        <v>27.4</v>
      </c>
      <c r="G46" s="51" t="s">
        <v>4166</v>
      </c>
    </row>
    <row r="47" spans="1:11" x14ac:dyDescent="0.15">
      <c r="A47" s="51" t="s">
        <v>25</v>
      </c>
      <c r="B47" s="51" t="s">
        <v>1065</v>
      </c>
      <c r="C47" s="51" t="s">
        <v>1066</v>
      </c>
      <c r="F47" s="52">
        <v>16.8</v>
      </c>
      <c r="G47" s="51" t="s">
        <v>4166</v>
      </c>
    </row>
    <row r="48" spans="1:11" x14ac:dyDescent="0.15">
      <c r="A48" s="51" t="s">
        <v>25</v>
      </c>
      <c r="B48" s="51" t="s">
        <v>1065</v>
      </c>
      <c r="C48" s="51" t="s">
        <v>959</v>
      </c>
      <c r="F48" s="52">
        <v>13.5</v>
      </c>
      <c r="G48" s="51" t="s">
        <v>4166</v>
      </c>
    </row>
    <row r="49" spans="1:11" x14ac:dyDescent="0.15">
      <c r="A49" s="51" t="s">
        <v>25</v>
      </c>
      <c r="B49" s="51" t="s">
        <v>1065</v>
      </c>
      <c r="C49" s="51" t="s">
        <v>3682</v>
      </c>
    </row>
    <row r="50" spans="1:11" x14ac:dyDescent="0.15">
      <c r="A50" s="51" t="s">
        <v>25</v>
      </c>
      <c r="B50" s="51" t="s">
        <v>1065</v>
      </c>
      <c r="C50" s="51" t="s">
        <v>3683</v>
      </c>
    </row>
    <row r="51" spans="1:11" x14ac:dyDescent="0.15">
      <c r="A51" s="51" t="s">
        <v>25</v>
      </c>
      <c r="B51" s="51" t="s">
        <v>1065</v>
      </c>
      <c r="C51" s="51" t="s">
        <v>3684</v>
      </c>
      <c r="J51" s="51" t="s">
        <v>4161</v>
      </c>
      <c r="K51" s="51" t="s">
        <v>4161</v>
      </c>
    </row>
    <row r="52" spans="1:11" x14ac:dyDescent="0.15">
      <c r="A52" s="51" t="s">
        <v>25</v>
      </c>
      <c r="B52" s="51" t="s">
        <v>1065</v>
      </c>
      <c r="C52" s="51" t="s">
        <v>3685</v>
      </c>
      <c r="J52" s="51" t="s">
        <v>4161</v>
      </c>
      <c r="K52" s="51" t="s">
        <v>4161</v>
      </c>
    </row>
    <row r="53" spans="1:11" x14ac:dyDescent="0.15">
      <c r="A53" s="51" t="s">
        <v>25</v>
      </c>
      <c r="B53" s="51" t="s">
        <v>1065</v>
      </c>
      <c r="C53" s="51" t="s">
        <v>4018</v>
      </c>
    </row>
    <row r="54" spans="1:11" x14ac:dyDescent="0.15">
      <c r="A54" s="51" t="s">
        <v>25</v>
      </c>
      <c r="B54" s="51" t="s">
        <v>1065</v>
      </c>
      <c r="C54" s="51" t="s">
        <v>3686</v>
      </c>
      <c r="J54" s="51" t="s">
        <v>4161</v>
      </c>
      <c r="K54" s="51" t="s">
        <v>4161</v>
      </c>
    </row>
    <row r="55" spans="1:11" x14ac:dyDescent="0.15">
      <c r="A55" s="51" t="s">
        <v>25</v>
      </c>
      <c r="B55" s="51" t="s">
        <v>1061</v>
      </c>
      <c r="C55" s="51" t="s">
        <v>3472</v>
      </c>
      <c r="H55" s="52">
        <v>40</v>
      </c>
      <c r="I55" s="51" t="s">
        <v>4167</v>
      </c>
    </row>
    <row r="56" spans="1:11" x14ac:dyDescent="0.15">
      <c r="A56" s="51" t="s">
        <v>25</v>
      </c>
      <c r="B56" s="51" t="s">
        <v>1061</v>
      </c>
      <c r="C56" s="51" t="s">
        <v>3687</v>
      </c>
      <c r="H56" s="52">
        <v>28.9</v>
      </c>
      <c r="I56" s="51" t="s">
        <v>3965</v>
      </c>
    </row>
    <row r="57" spans="1:11" x14ac:dyDescent="0.15">
      <c r="A57" s="51" t="s">
        <v>25</v>
      </c>
      <c r="B57" s="51" t="s">
        <v>1061</v>
      </c>
      <c r="C57" s="51" t="s">
        <v>1062</v>
      </c>
      <c r="F57" s="52">
        <v>26.5</v>
      </c>
      <c r="G57" s="51" t="s">
        <v>4166</v>
      </c>
    </row>
    <row r="58" spans="1:11" x14ac:dyDescent="0.15">
      <c r="A58" s="51" t="s">
        <v>25</v>
      </c>
      <c r="B58" s="51" t="s">
        <v>1061</v>
      </c>
      <c r="C58" s="51" t="s">
        <v>3688</v>
      </c>
    </row>
    <row r="59" spans="1:11" x14ac:dyDescent="0.15">
      <c r="A59" s="51" t="s">
        <v>25</v>
      </c>
      <c r="B59" s="51" t="s">
        <v>1064</v>
      </c>
      <c r="C59" s="51" t="s">
        <v>1063</v>
      </c>
      <c r="F59" s="52">
        <v>7.5</v>
      </c>
      <c r="G59" s="51" t="s">
        <v>3975</v>
      </c>
    </row>
    <row r="60" spans="1:11" x14ac:dyDescent="0.15">
      <c r="A60" s="51" t="s">
        <v>25</v>
      </c>
      <c r="B60" s="51" t="s">
        <v>1064</v>
      </c>
      <c r="C60" s="51" t="s">
        <v>3689</v>
      </c>
      <c r="F60" s="52">
        <v>37.4</v>
      </c>
      <c r="G60" s="51" t="s">
        <v>4166</v>
      </c>
    </row>
    <row r="61" spans="1:11" x14ac:dyDescent="0.15">
      <c r="A61" s="51" t="s">
        <v>25</v>
      </c>
      <c r="B61" s="51" t="s">
        <v>1064</v>
      </c>
      <c r="C61" s="51" t="s">
        <v>3690</v>
      </c>
    </row>
    <row r="62" spans="1:11" x14ac:dyDescent="0.15">
      <c r="A62" s="51" t="s">
        <v>25</v>
      </c>
      <c r="B62" s="51" t="s">
        <v>1064</v>
      </c>
      <c r="C62" s="51" t="s">
        <v>3473</v>
      </c>
      <c r="J62" s="51" t="s">
        <v>4161</v>
      </c>
      <c r="K62" s="51" t="s">
        <v>4161</v>
      </c>
    </row>
    <row r="63" spans="1:11" x14ac:dyDescent="0.15">
      <c r="A63" s="51" t="s">
        <v>25</v>
      </c>
      <c r="B63" s="51" t="s">
        <v>1070</v>
      </c>
      <c r="C63" s="51" t="s">
        <v>1069</v>
      </c>
      <c r="F63" s="52">
        <v>24</v>
      </c>
      <c r="G63" s="51" t="s">
        <v>4168</v>
      </c>
      <c r="J63" s="52">
        <v>20</v>
      </c>
      <c r="K63" s="51" t="s">
        <v>4159</v>
      </c>
    </row>
    <row r="64" spans="1:11" x14ac:dyDescent="0.15">
      <c r="A64" s="51" t="s">
        <v>25</v>
      </c>
      <c r="B64" s="51" t="s">
        <v>3474</v>
      </c>
      <c r="C64" s="51" t="s">
        <v>3691</v>
      </c>
      <c r="D64" s="52">
        <v>65</v>
      </c>
      <c r="E64" s="51" t="s">
        <v>4169</v>
      </c>
      <c r="H64" s="51" t="s">
        <v>4161</v>
      </c>
      <c r="I64" s="51" t="s">
        <v>4161</v>
      </c>
    </row>
    <row r="65" spans="1:16" x14ac:dyDescent="0.15">
      <c r="A65" s="51" t="s">
        <v>25</v>
      </c>
      <c r="B65" s="51" t="s">
        <v>4019</v>
      </c>
      <c r="C65" s="51" t="s">
        <v>3681</v>
      </c>
    </row>
    <row r="66" spans="1:16" x14ac:dyDescent="0.15">
      <c r="A66" s="51" t="s">
        <v>25</v>
      </c>
      <c r="B66" s="51" t="s">
        <v>3475</v>
      </c>
      <c r="C66" s="51" t="s">
        <v>3692</v>
      </c>
      <c r="J66" s="51" t="s">
        <v>4161</v>
      </c>
      <c r="K66" s="51" t="s">
        <v>4161</v>
      </c>
    </row>
    <row r="67" spans="1:16" x14ac:dyDescent="0.15">
      <c r="A67" s="51" t="s">
        <v>25</v>
      </c>
      <c r="B67" s="51" t="s">
        <v>1071</v>
      </c>
      <c r="C67" s="51" t="s">
        <v>1072</v>
      </c>
      <c r="J67" s="51" t="s">
        <v>4161</v>
      </c>
      <c r="K67" s="51" t="s">
        <v>4161</v>
      </c>
    </row>
    <row r="68" spans="1:16" x14ac:dyDescent="0.15">
      <c r="A68" s="51" t="s">
        <v>68</v>
      </c>
      <c r="B68" s="51" t="s">
        <v>3476</v>
      </c>
      <c r="C68" s="51" t="s">
        <v>3693</v>
      </c>
      <c r="D68" s="52">
        <v>36</v>
      </c>
      <c r="E68" s="51" t="s">
        <v>4170</v>
      </c>
      <c r="F68" s="52">
        <v>37</v>
      </c>
      <c r="G68" s="51" t="s">
        <v>4171</v>
      </c>
      <c r="H68" s="52">
        <v>45</v>
      </c>
      <c r="I68" s="51" t="s">
        <v>4172</v>
      </c>
      <c r="J68" s="52">
        <v>33</v>
      </c>
      <c r="K68" s="51" t="s">
        <v>4173</v>
      </c>
    </row>
    <row r="69" spans="1:16" x14ac:dyDescent="0.15">
      <c r="A69" s="51" t="s">
        <v>68</v>
      </c>
      <c r="B69" s="51" t="s">
        <v>916</v>
      </c>
      <c r="C69" s="51" t="s">
        <v>917</v>
      </c>
      <c r="F69" s="52">
        <v>33.5</v>
      </c>
      <c r="G69" s="51" t="s">
        <v>4159</v>
      </c>
      <c r="H69" s="52">
        <v>135</v>
      </c>
      <c r="I69" s="51" t="s">
        <v>4174</v>
      </c>
      <c r="J69" s="52">
        <v>75</v>
      </c>
      <c r="K69" s="51" t="s">
        <v>4175</v>
      </c>
    </row>
    <row r="70" spans="1:16" x14ac:dyDescent="0.15">
      <c r="A70" s="51" t="s">
        <v>68</v>
      </c>
      <c r="B70" s="51" t="s">
        <v>3477</v>
      </c>
      <c r="C70" s="51" t="s">
        <v>3694</v>
      </c>
      <c r="F70" s="52">
        <v>20</v>
      </c>
      <c r="G70" s="51" t="s">
        <v>1395</v>
      </c>
      <c r="J70" s="52" t="s">
        <v>2445</v>
      </c>
      <c r="K70" s="51" t="s">
        <v>4176</v>
      </c>
    </row>
    <row r="71" spans="1:16" x14ac:dyDescent="0.15">
      <c r="A71" s="51" t="s">
        <v>68</v>
      </c>
      <c r="B71" s="51" t="s">
        <v>3478</v>
      </c>
      <c r="C71" s="51" t="s">
        <v>3966</v>
      </c>
      <c r="D71" s="52">
        <v>25.7</v>
      </c>
      <c r="E71" s="51" t="s">
        <v>4177</v>
      </c>
      <c r="F71" s="52">
        <v>20</v>
      </c>
      <c r="G71" s="51" t="s">
        <v>4178</v>
      </c>
    </row>
    <row r="72" spans="1:16" x14ac:dyDescent="0.15">
      <c r="A72" s="51" t="s">
        <v>68</v>
      </c>
      <c r="B72" s="51" t="s">
        <v>3478</v>
      </c>
      <c r="C72" s="51" t="s">
        <v>3695</v>
      </c>
    </row>
    <row r="73" spans="1:16" x14ac:dyDescent="0.15">
      <c r="A73" s="51" t="s">
        <v>68</v>
      </c>
      <c r="B73" s="51" t="s">
        <v>3479</v>
      </c>
      <c r="C73" s="51" t="s">
        <v>3773</v>
      </c>
      <c r="F73" s="52">
        <v>45</v>
      </c>
      <c r="G73" s="51" t="s">
        <v>4179</v>
      </c>
      <c r="J73" s="51" t="s">
        <v>4161</v>
      </c>
      <c r="K73" s="51" t="s">
        <v>4161</v>
      </c>
    </row>
    <row r="74" spans="1:16" x14ac:dyDescent="0.15">
      <c r="A74" s="51" t="s">
        <v>75</v>
      </c>
      <c r="B74" s="51" t="s">
        <v>918</v>
      </c>
      <c r="C74" s="51" t="s">
        <v>3697</v>
      </c>
    </row>
    <row r="75" spans="1:16" x14ac:dyDescent="0.15">
      <c r="A75" s="51" t="s">
        <v>75</v>
      </c>
      <c r="B75" s="51" t="s">
        <v>918</v>
      </c>
      <c r="C75" s="51" t="s">
        <v>3967</v>
      </c>
      <c r="F75" s="52">
        <v>23.2</v>
      </c>
      <c r="G75" s="51" t="s">
        <v>4159</v>
      </c>
    </row>
    <row r="76" spans="1:16" x14ac:dyDescent="0.15">
      <c r="A76" s="51" t="s">
        <v>75</v>
      </c>
      <c r="B76" s="51" t="s">
        <v>918</v>
      </c>
      <c r="C76" s="51" t="s">
        <v>919</v>
      </c>
      <c r="D76" s="52">
        <v>67</v>
      </c>
      <c r="E76" s="51" t="s">
        <v>4180</v>
      </c>
      <c r="F76" s="52">
        <v>38.700000000000003</v>
      </c>
      <c r="G76" s="51" t="s">
        <v>4159</v>
      </c>
    </row>
    <row r="77" spans="1:16" x14ac:dyDescent="0.15">
      <c r="A77" s="51" t="s">
        <v>75</v>
      </c>
      <c r="B77" s="51" t="s">
        <v>920</v>
      </c>
      <c r="C77" s="51" t="s">
        <v>3698</v>
      </c>
    </row>
    <row r="78" spans="1:16" x14ac:dyDescent="0.15">
      <c r="A78" s="51" t="s">
        <v>75</v>
      </c>
      <c r="B78" s="51" t="s">
        <v>920</v>
      </c>
      <c r="C78" s="51" t="s">
        <v>921</v>
      </c>
      <c r="F78" s="52">
        <v>70.3</v>
      </c>
      <c r="G78" s="51" t="s">
        <v>4159</v>
      </c>
      <c r="J78" s="52">
        <v>58.8</v>
      </c>
      <c r="K78" s="51" t="s">
        <v>4181</v>
      </c>
    </row>
    <row r="79" spans="1:16" x14ac:dyDescent="0.15">
      <c r="A79" s="51" t="s">
        <v>90</v>
      </c>
      <c r="B79" s="51" t="s">
        <v>922</v>
      </c>
      <c r="C79" s="51" t="s">
        <v>923</v>
      </c>
      <c r="F79" s="52">
        <v>35.700000000000003</v>
      </c>
      <c r="G79" s="51" t="s">
        <v>4182</v>
      </c>
    </row>
    <row r="80" spans="1:16" x14ac:dyDescent="0.15">
      <c r="A80" s="51" t="s">
        <v>93</v>
      </c>
      <c r="B80" s="51" t="s">
        <v>924</v>
      </c>
      <c r="C80" s="51" t="s">
        <v>925</v>
      </c>
      <c r="D80" s="52">
        <v>31</v>
      </c>
      <c r="E80" s="51" t="s">
        <v>4183</v>
      </c>
      <c r="J80" s="52">
        <v>30</v>
      </c>
      <c r="K80" s="51" t="s">
        <v>4160</v>
      </c>
      <c r="P80" s="51" t="s">
        <v>3968</v>
      </c>
    </row>
    <row r="81" spans="1:15" x14ac:dyDescent="0.15">
      <c r="A81" s="51" t="s">
        <v>97</v>
      </c>
      <c r="B81" s="51" t="s">
        <v>3480</v>
      </c>
      <c r="C81" s="51" t="s">
        <v>3699</v>
      </c>
      <c r="D81" s="52">
        <v>55</v>
      </c>
      <c r="E81" s="51" t="s">
        <v>4184</v>
      </c>
    </row>
    <row r="82" spans="1:15" x14ac:dyDescent="0.15">
      <c r="A82" s="51" t="s">
        <v>97</v>
      </c>
      <c r="B82" s="51" t="s">
        <v>3480</v>
      </c>
      <c r="C82" s="51" t="s">
        <v>3700</v>
      </c>
      <c r="F82" s="52">
        <v>27.3</v>
      </c>
      <c r="G82" s="51" t="s">
        <v>4159</v>
      </c>
    </row>
    <row r="83" spans="1:15" x14ac:dyDescent="0.15">
      <c r="A83" s="51" t="s">
        <v>97</v>
      </c>
      <c r="B83" s="51" t="s">
        <v>966</v>
      </c>
      <c r="C83" s="51" t="s">
        <v>3969</v>
      </c>
      <c r="F83" s="52">
        <v>20.5</v>
      </c>
      <c r="G83" s="51" t="s">
        <v>4159</v>
      </c>
    </row>
    <row r="84" spans="1:15" x14ac:dyDescent="0.15">
      <c r="A84" s="51" t="s">
        <v>97</v>
      </c>
      <c r="B84" s="51" t="s">
        <v>966</v>
      </c>
      <c r="C84" s="51" t="s">
        <v>965</v>
      </c>
      <c r="D84" s="52">
        <v>61</v>
      </c>
      <c r="E84" s="51" t="s">
        <v>3970</v>
      </c>
      <c r="F84" s="52">
        <v>23.9</v>
      </c>
      <c r="G84" s="51" t="s">
        <v>4159</v>
      </c>
      <c r="J84" s="52">
        <v>29</v>
      </c>
      <c r="K84" s="51" t="s">
        <v>4185</v>
      </c>
    </row>
    <row r="85" spans="1:15" x14ac:dyDescent="0.15">
      <c r="A85" s="51" t="s">
        <v>97</v>
      </c>
      <c r="B85" s="51" t="s">
        <v>968</v>
      </c>
      <c r="C85" s="51" t="s">
        <v>969</v>
      </c>
      <c r="D85" s="52">
        <v>51</v>
      </c>
      <c r="E85" s="51" t="s">
        <v>4186</v>
      </c>
      <c r="F85" s="52">
        <v>23.5</v>
      </c>
      <c r="G85" s="51" t="s">
        <v>4159</v>
      </c>
      <c r="H85" s="52">
        <v>110</v>
      </c>
      <c r="I85" s="51" t="s">
        <v>4187</v>
      </c>
      <c r="J85" s="52">
        <v>40</v>
      </c>
      <c r="K85" s="51" t="s">
        <v>4188</v>
      </c>
    </row>
    <row r="86" spans="1:15" x14ac:dyDescent="0.15">
      <c r="A86" s="51" t="s">
        <v>97</v>
      </c>
      <c r="B86" s="51" t="s">
        <v>972</v>
      </c>
      <c r="C86" s="51" t="s">
        <v>973</v>
      </c>
      <c r="D86" s="52">
        <v>24</v>
      </c>
      <c r="E86" s="51" t="s">
        <v>1395</v>
      </c>
      <c r="F86" s="52">
        <v>35</v>
      </c>
      <c r="G86" s="51" t="s">
        <v>4189</v>
      </c>
      <c r="J86" s="52">
        <v>14.7</v>
      </c>
      <c r="K86" s="51" t="s">
        <v>4159</v>
      </c>
    </row>
    <row r="87" spans="1:15" x14ac:dyDescent="0.15">
      <c r="A87" s="51" t="s">
        <v>97</v>
      </c>
      <c r="B87" s="51" t="s">
        <v>974</v>
      </c>
      <c r="C87" s="51" t="s">
        <v>975</v>
      </c>
      <c r="D87" s="52">
        <v>84</v>
      </c>
      <c r="E87" s="51" t="s">
        <v>4190</v>
      </c>
      <c r="F87" s="52">
        <v>15</v>
      </c>
      <c r="G87" s="51" t="s">
        <v>4159</v>
      </c>
      <c r="J87" s="52">
        <v>77</v>
      </c>
      <c r="K87" s="51" t="s">
        <v>4191</v>
      </c>
    </row>
    <row r="88" spans="1:15" x14ac:dyDescent="0.15">
      <c r="A88" s="51" t="s">
        <v>97</v>
      </c>
      <c r="B88" s="51" t="s">
        <v>3481</v>
      </c>
      <c r="C88" s="51" t="s">
        <v>3701</v>
      </c>
      <c r="D88" s="52">
        <v>120</v>
      </c>
      <c r="E88" s="51" t="s">
        <v>4192</v>
      </c>
      <c r="F88" s="52">
        <v>120</v>
      </c>
      <c r="G88" s="51" t="s">
        <v>4193</v>
      </c>
      <c r="J88" s="52">
        <v>70</v>
      </c>
      <c r="K88" s="51" t="s">
        <v>4194</v>
      </c>
    </row>
    <row r="89" spans="1:15" x14ac:dyDescent="0.15">
      <c r="A89" s="51" t="s">
        <v>97</v>
      </c>
      <c r="B89" s="51" t="s">
        <v>3481</v>
      </c>
      <c r="C89" s="51" t="s">
        <v>3702</v>
      </c>
    </row>
    <row r="90" spans="1:15" x14ac:dyDescent="0.15">
      <c r="A90" s="51" t="s">
        <v>97</v>
      </c>
      <c r="B90" s="51" t="s">
        <v>970</v>
      </c>
      <c r="C90" s="51" t="s">
        <v>915</v>
      </c>
      <c r="D90" s="52">
        <v>55</v>
      </c>
      <c r="E90" s="51" t="s">
        <v>4195</v>
      </c>
      <c r="F90" s="52">
        <v>58</v>
      </c>
      <c r="G90" s="51" t="s">
        <v>4196</v>
      </c>
      <c r="J90" s="52">
        <v>60</v>
      </c>
      <c r="K90" s="51" t="s">
        <v>5176</v>
      </c>
      <c r="O90" s="51" t="s">
        <v>3971</v>
      </c>
    </row>
    <row r="91" spans="1:15" x14ac:dyDescent="0.15">
      <c r="A91" s="51" t="s">
        <v>97</v>
      </c>
      <c r="B91" s="51" t="s">
        <v>970</v>
      </c>
      <c r="C91" s="51" t="s">
        <v>971</v>
      </c>
      <c r="D91" s="52">
        <v>63</v>
      </c>
      <c r="E91" s="51" t="s">
        <v>4197</v>
      </c>
      <c r="F91" s="52">
        <v>24.4</v>
      </c>
      <c r="G91" s="51" t="s">
        <v>4159</v>
      </c>
      <c r="J91" s="52">
        <v>49</v>
      </c>
      <c r="K91" s="51" t="s">
        <v>4198</v>
      </c>
    </row>
    <row r="92" spans="1:15" x14ac:dyDescent="0.15">
      <c r="A92" s="51" t="s">
        <v>97</v>
      </c>
      <c r="B92" s="51" t="s">
        <v>977</v>
      </c>
      <c r="C92" s="51" t="s">
        <v>976</v>
      </c>
      <c r="F92" s="52">
        <v>43</v>
      </c>
      <c r="G92" s="51" t="s">
        <v>4199</v>
      </c>
      <c r="J92" s="52">
        <v>37</v>
      </c>
      <c r="K92" s="51" t="s">
        <v>4200</v>
      </c>
    </row>
    <row r="93" spans="1:15" x14ac:dyDescent="0.15">
      <c r="A93" s="51" t="s">
        <v>97</v>
      </c>
      <c r="B93" s="51" t="s">
        <v>977</v>
      </c>
      <c r="C93" s="51" t="s">
        <v>3703</v>
      </c>
      <c r="F93" s="52">
        <v>14.5</v>
      </c>
      <c r="G93" s="51" t="s">
        <v>4159</v>
      </c>
    </row>
    <row r="94" spans="1:15" x14ac:dyDescent="0.15">
      <c r="A94" s="51" t="s">
        <v>97</v>
      </c>
      <c r="B94" s="51" t="s">
        <v>977</v>
      </c>
      <c r="C94" s="51" t="s">
        <v>3704</v>
      </c>
      <c r="F94" s="52">
        <v>15</v>
      </c>
      <c r="G94" s="51" t="s">
        <v>1395</v>
      </c>
      <c r="J94" s="51" t="s">
        <v>4161</v>
      </c>
      <c r="K94" s="51" t="s">
        <v>4161</v>
      </c>
    </row>
    <row r="95" spans="1:15" x14ac:dyDescent="0.15">
      <c r="A95" s="51" t="s">
        <v>97</v>
      </c>
      <c r="B95" s="51" t="s">
        <v>977</v>
      </c>
      <c r="C95" s="51" t="s">
        <v>978</v>
      </c>
    </row>
    <row r="96" spans="1:15" ht="16" x14ac:dyDescent="0.2">
      <c r="A96" s="51" t="s">
        <v>97</v>
      </c>
      <c r="B96" s="51" t="s">
        <v>977</v>
      </c>
      <c r="C96" s="51" t="s">
        <v>979</v>
      </c>
      <c r="D96" s="52">
        <v>39</v>
      </c>
      <c r="E96" s="51" t="s">
        <v>4201</v>
      </c>
      <c r="F96" s="52">
        <v>21</v>
      </c>
      <c r="G96" s="51" t="s">
        <v>906</v>
      </c>
      <c r="J96" s="53">
        <v>14.6</v>
      </c>
      <c r="K96" s="51" t="s">
        <v>4202</v>
      </c>
    </row>
    <row r="97" spans="1:11" x14ac:dyDescent="0.15">
      <c r="A97" s="51" t="s">
        <v>97</v>
      </c>
      <c r="B97" s="51" t="s">
        <v>977</v>
      </c>
      <c r="C97" s="51" t="s">
        <v>3705</v>
      </c>
    </row>
    <row r="98" spans="1:11" x14ac:dyDescent="0.15">
      <c r="A98" s="51" t="s">
        <v>97</v>
      </c>
      <c r="B98" s="51" t="s">
        <v>977</v>
      </c>
      <c r="C98" s="51" t="s">
        <v>980</v>
      </c>
      <c r="F98" s="52">
        <v>20.3</v>
      </c>
      <c r="G98" s="51" t="s">
        <v>4159</v>
      </c>
    </row>
    <row r="99" spans="1:11" ht="16" x14ac:dyDescent="0.2">
      <c r="A99" s="51" t="s">
        <v>97</v>
      </c>
      <c r="B99" s="51" t="s">
        <v>977</v>
      </c>
      <c r="C99" s="51" t="s">
        <v>3706</v>
      </c>
      <c r="D99" s="52">
        <v>37</v>
      </c>
      <c r="E99" s="51" t="s">
        <v>4203</v>
      </c>
      <c r="F99" s="52">
        <v>20.3</v>
      </c>
      <c r="G99" s="51" t="s">
        <v>4159</v>
      </c>
      <c r="H99" s="53">
        <v>76.400000000000006</v>
      </c>
      <c r="I99" s="51" t="s">
        <v>4204</v>
      </c>
    </row>
    <row r="100" spans="1:11" x14ac:dyDescent="0.15">
      <c r="A100" s="51" t="s">
        <v>97</v>
      </c>
      <c r="B100" s="51" t="s">
        <v>977</v>
      </c>
      <c r="C100" s="51" t="s">
        <v>981</v>
      </c>
      <c r="F100" s="52">
        <v>15</v>
      </c>
      <c r="G100" s="51" t="s">
        <v>3972</v>
      </c>
    </row>
    <row r="101" spans="1:11" x14ac:dyDescent="0.15">
      <c r="A101" s="51" t="s">
        <v>97</v>
      </c>
      <c r="B101" s="51" t="s">
        <v>977</v>
      </c>
      <c r="C101" s="51" t="s">
        <v>3707</v>
      </c>
      <c r="F101" s="52">
        <v>15</v>
      </c>
      <c r="G101" s="51" t="s">
        <v>3973</v>
      </c>
      <c r="J101" s="51" t="s">
        <v>4161</v>
      </c>
      <c r="K101" s="51" t="s">
        <v>4161</v>
      </c>
    </row>
    <row r="102" spans="1:11" x14ac:dyDescent="0.15">
      <c r="A102" s="51" t="s">
        <v>97</v>
      </c>
      <c r="B102" s="51" t="s">
        <v>977</v>
      </c>
      <c r="C102" s="51" t="s">
        <v>982</v>
      </c>
      <c r="F102" s="52">
        <v>35.4</v>
      </c>
      <c r="G102" s="51" t="s">
        <v>4205</v>
      </c>
    </row>
    <row r="103" spans="1:11" x14ac:dyDescent="0.15">
      <c r="A103" s="51" t="s">
        <v>97</v>
      </c>
      <c r="B103" s="51" t="s">
        <v>977</v>
      </c>
      <c r="C103" s="51" t="s">
        <v>983</v>
      </c>
      <c r="F103" s="52">
        <v>15.7</v>
      </c>
      <c r="G103" s="51" t="s">
        <v>4159</v>
      </c>
    </row>
    <row r="104" spans="1:11" x14ac:dyDescent="0.15">
      <c r="A104" s="51" t="s">
        <v>97</v>
      </c>
      <c r="B104" s="51" t="s">
        <v>977</v>
      </c>
      <c r="C104" s="51" t="s">
        <v>3708</v>
      </c>
      <c r="G104" s="51" t="s">
        <v>263</v>
      </c>
    </row>
    <row r="105" spans="1:11" x14ac:dyDescent="0.15">
      <c r="A105" s="51" t="s">
        <v>97</v>
      </c>
      <c r="B105" s="51" t="s">
        <v>977</v>
      </c>
      <c r="C105" s="51" t="s">
        <v>984</v>
      </c>
      <c r="J105" s="52">
        <v>33.72</v>
      </c>
      <c r="K105" s="51" t="s">
        <v>3960</v>
      </c>
    </row>
    <row r="106" spans="1:11" x14ac:dyDescent="0.15">
      <c r="A106" s="51" t="s">
        <v>97</v>
      </c>
      <c r="B106" s="51" t="s">
        <v>985</v>
      </c>
      <c r="C106" s="51" t="s">
        <v>986</v>
      </c>
      <c r="D106" s="52">
        <v>50</v>
      </c>
      <c r="E106" s="51" t="s">
        <v>4206</v>
      </c>
      <c r="F106" s="52">
        <v>14</v>
      </c>
      <c r="G106" s="51" t="s">
        <v>4159</v>
      </c>
    </row>
    <row r="107" spans="1:11" x14ac:dyDescent="0.15">
      <c r="A107" s="51" t="s">
        <v>97</v>
      </c>
      <c r="B107" s="51" t="s">
        <v>987</v>
      </c>
      <c r="C107" s="51" t="s">
        <v>3709</v>
      </c>
      <c r="F107" s="52">
        <v>11</v>
      </c>
      <c r="G107" s="51" t="s">
        <v>1395</v>
      </c>
    </row>
    <row r="108" spans="1:11" x14ac:dyDescent="0.15">
      <c r="A108" s="51" t="s">
        <v>97</v>
      </c>
      <c r="B108" s="51" t="s">
        <v>987</v>
      </c>
      <c r="C108" s="51" t="s">
        <v>988</v>
      </c>
      <c r="D108" s="52">
        <v>40</v>
      </c>
      <c r="E108" s="51" t="s">
        <v>4207</v>
      </c>
      <c r="F108" s="52">
        <v>21</v>
      </c>
      <c r="G108" s="51" t="s">
        <v>4159</v>
      </c>
    </row>
    <row r="109" spans="1:11" x14ac:dyDescent="0.15">
      <c r="A109" s="51" t="s">
        <v>97</v>
      </c>
      <c r="B109" s="51" t="s">
        <v>987</v>
      </c>
      <c r="C109" s="51" t="s">
        <v>4208</v>
      </c>
      <c r="D109" s="52">
        <v>20</v>
      </c>
      <c r="E109" s="51" t="s">
        <v>4209</v>
      </c>
      <c r="F109" s="52">
        <v>40.700000000000003</v>
      </c>
      <c r="G109" s="51" t="s">
        <v>4159</v>
      </c>
    </row>
    <row r="110" spans="1:11" x14ac:dyDescent="0.15">
      <c r="A110" s="51" t="s">
        <v>97</v>
      </c>
      <c r="B110" s="51" t="s">
        <v>987</v>
      </c>
      <c r="C110" s="51" t="s">
        <v>3710</v>
      </c>
      <c r="F110" s="52">
        <v>44</v>
      </c>
      <c r="G110" s="51" t="s">
        <v>4210</v>
      </c>
    </row>
    <row r="111" spans="1:11" x14ac:dyDescent="0.15">
      <c r="A111" s="51" t="s">
        <v>97</v>
      </c>
      <c r="B111" s="51" t="s">
        <v>987</v>
      </c>
      <c r="C111" s="51" t="s">
        <v>3711</v>
      </c>
    </row>
    <row r="112" spans="1:11" x14ac:dyDescent="0.15">
      <c r="A112" s="51" t="s">
        <v>97</v>
      </c>
      <c r="B112" s="51" t="s">
        <v>987</v>
      </c>
      <c r="C112" s="51" t="s">
        <v>992</v>
      </c>
      <c r="D112" s="52">
        <v>27</v>
      </c>
      <c r="E112" s="51" t="s">
        <v>4211</v>
      </c>
      <c r="F112" s="52">
        <v>30</v>
      </c>
      <c r="G112" s="51" t="s">
        <v>4212</v>
      </c>
      <c r="J112" s="52">
        <v>26.2</v>
      </c>
      <c r="K112" s="51" t="s">
        <v>4159</v>
      </c>
    </row>
    <row r="113" spans="1:11" x14ac:dyDescent="0.15">
      <c r="A113" s="51" t="s">
        <v>97</v>
      </c>
      <c r="B113" s="51" t="s">
        <v>987</v>
      </c>
      <c r="C113" s="51" t="s">
        <v>991</v>
      </c>
      <c r="D113" s="52">
        <v>24</v>
      </c>
      <c r="E113" s="51" t="s">
        <v>4213</v>
      </c>
      <c r="F113" s="52">
        <v>11.4</v>
      </c>
      <c r="G113" s="51" t="s">
        <v>4205</v>
      </c>
    </row>
    <row r="114" spans="1:11" x14ac:dyDescent="0.15">
      <c r="A114" s="51" t="s">
        <v>97</v>
      </c>
      <c r="B114" s="51" t="s">
        <v>987</v>
      </c>
      <c r="C114" s="51" t="s">
        <v>3712</v>
      </c>
      <c r="F114" s="52">
        <v>11.2</v>
      </c>
      <c r="G114" s="51" t="s">
        <v>4159</v>
      </c>
    </row>
    <row r="115" spans="1:11" x14ac:dyDescent="0.15">
      <c r="A115" s="51" t="s">
        <v>97</v>
      </c>
      <c r="B115" s="51" t="s">
        <v>987</v>
      </c>
      <c r="C115" s="51" t="s">
        <v>3713</v>
      </c>
      <c r="D115" s="52">
        <v>29</v>
      </c>
      <c r="E115" s="51" t="s">
        <v>3974</v>
      </c>
    </row>
    <row r="116" spans="1:11" x14ac:dyDescent="0.15">
      <c r="A116" s="51" t="s">
        <v>97</v>
      </c>
      <c r="B116" s="51" t="s">
        <v>996</v>
      </c>
      <c r="C116" s="51" t="s">
        <v>995</v>
      </c>
      <c r="D116" s="52">
        <v>101</v>
      </c>
      <c r="E116" s="51" t="s">
        <v>4214</v>
      </c>
      <c r="F116" s="52">
        <v>138</v>
      </c>
      <c r="G116" s="51" t="s">
        <v>4215</v>
      </c>
      <c r="H116" s="52">
        <v>68</v>
      </c>
      <c r="I116" s="51" t="s">
        <v>4216</v>
      </c>
      <c r="J116" s="52">
        <v>70</v>
      </c>
      <c r="K116" s="51" t="s">
        <v>5177</v>
      </c>
    </row>
    <row r="117" spans="1:11" x14ac:dyDescent="0.15">
      <c r="A117" s="51" t="s">
        <v>97</v>
      </c>
      <c r="B117" s="51" t="s">
        <v>996</v>
      </c>
      <c r="C117" s="51" t="s">
        <v>3714</v>
      </c>
      <c r="F117" s="52">
        <v>18.8</v>
      </c>
      <c r="G117" s="51" t="s">
        <v>4159</v>
      </c>
      <c r="J117" s="52" t="s">
        <v>4217</v>
      </c>
      <c r="K117" s="51" t="s">
        <v>4218</v>
      </c>
    </row>
    <row r="118" spans="1:11" x14ac:dyDescent="0.15">
      <c r="A118" s="51" t="s">
        <v>97</v>
      </c>
      <c r="B118" s="51" t="s">
        <v>996</v>
      </c>
      <c r="C118" s="51" t="s">
        <v>3715</v>
      </c>
      <c r="F118" s="52">
        <v>23.4</v>
      </c>
      <c r="G118" s="51" t="s">
        <v>4159</v>
      </c>
    </row>
    <row r="119" spans="1:11" x14ac:dyDescent="0.15">
      <c r="A119" s="51" t="s">
        <v>97</v>
      </c>
      <c r="B119" s="51" t="s">
        <v>996</v>
      </c>
      <c r="C119" s="51" t="s">
        <v>992</v>
      </c>
      <c r="F119" s="52">
        <v>24.9</v>
      </c>
      <c r="G119" s="51" t="s">
        <v>4159</v>
      </c>
    </row>
    <row r="120" spans="1:11" x14ac:dyDescent="0.15">
      <c r="A120" s="51" t="s">
        <v>97</v>
      </c>
      <c r="B120" s="51" t="s">
        <v>996</v>
      </c>
      <c r="C120" s="51" t="s">
        <v>997</v>
      </c>
      <c r="D120" s="52">
        <v>57</v>
      </c>
      <c r="E120" s="51" t="s">
        <v>4219</v>
      </c>
      <c r="F120" s="52">
        <v>28.4</v>
      </c>
      <c r="G120" s="51" t="s">
        <v>4159</v>
      </c>
    </row>
    <row r="121" spans="1:11" x14ac:dyDescent="0.15">
      <c r="A121" s="51" t="s">
        <v>97</v>
      </c>
      <c r="B121" s="51" t="s">
        <v>996</v>
      </c>
      <c r="C121" s="51" t="s">
        <v>3485</v>
      </c>
      <c r="D121" s="52">
        <v>74</v>
      </c>
      <c r="E121" s="51" t="s">
        <v>4220</v>
      </c>
      <c r="J121" s="52">
        <v>52</v>
      </c>
      <c r="K121" s="51" t="s">
        <v>4221</v>
      </c>
    </row>
    <row r="122" spans="1:11" x14ac:dyDescent="0.15">
      <c r="A122" s="51" t="s">
        <v>97</v>
      </c>
      <c r="B122" s="51" t="s">
        <v>996</v>
      </c>
      <c r="C122" s="51" t="s">
        <v>4027</v>
      </c>
      <c r="F122" s="52">
        <v>18.25</v>
      </c>
      <c r="G122" s="51" t="s">
        <v>4159</v>
      </c>
    </row>
    <row r="123" spans="1:11" x14ac:dyDescent="0.15">
      <c r="A123" s="51" t="s">
        <v>97</v>
      </c>
      <c r="B123" s="51" t="s">
        <v>990</v>
      </c>
      <c r="C123" s="51" t="s">
        <v>3716</v>
      </c>
    </row>
    <row r="124" spans="1:11" x14ac:dyDescent="0.15">
      <c r="A124" s="51" t="s">
        <v>97</v>
      </c>
      <c r="B124" s="51" t="s">
        <v>990</v>
      </c>
      <c r="C124" s="51" t="s">
        <v>3486</v>
      </c>
      <c r="F124" s="52">
        <v>9.5</v>
      </c>
      <c r="G124" s="51" t="s">
        <v>4159</v>
      </c>
    </row>
    <row r="125" spans="1:11" x14ac:dyDescent="0.15">
      <c r="A125" s="51" t="s">
        <v>97</v>
      </c>
      <c r="B125" s="51" t="s">
        <v>990</v>
      </c>
      <c r="C125" s="51" t="s">
        <v>989</v>
      </c>
      <c r="F125" s="52">
        <v>13.9</v>
      </c>
      <c r="G125" s="51" t="s">
        <v>4159</v>
      </c>
    </row>
    <row r="126" spans="1:11" x14ac:dyDescent="0.15">
      <c r="A126" s="51" t="s">
        <v>97</v>
      </c>
      <c r="B126" s="51" t="s">
        <v>990</v>
      </c>
      <c r="C126" s="51" t="s">
        <v>3488</v>
      </c>
      <c r="D126" s="52">
        <v>30</v>
      </c>
      <c r="E126" s="51" t="s">
        <v>4222</v>
      </c>
      <c r="H126" s="51" t="s">
        <v>4161</v>
      </c>
      <c r="I126" s="51" t="s">
        <v>4161</v>
      </c>
    </row>
    <row r="127" spans="1:11" x14ac:dyDescent="0.15">
      <c r="A127" s="51" t="s">
        <v>97</v>
      </c>
      <c r="B127" s="51" t="s">
        <v>990</v>
      </c>
      <c r="C127" s="51" t="s">
        <v>3717</v>
      </c>
      <c r="F127" s="52">
        <v>13.9</v>
      </c>
      <c r="G127" s="51" t="s">
        <v>4159</v>
      </c>
    </row>
    <row r="128" spans="1:11" x14ac:dyDescent="0.15">
      <c r="A128" s="51" t="s">
        <v>97</v>
      </c>
      <c r="B128" s="51" t="s">
        <v>990</v>
      </c>
      <c r="C128" s="51" t="s">
        <v>3718</v>
      </c>
      <c r="F128" s="52">
        <v>11.2</v>
      </c>
      <c r="G128" s="51" t="s">
        <v>1395</v>
      </c>
    </row>
    <row r="129" spans="1:11" x14ac:dyDescent="0.15">
      <c r="A129" s="51" t="s">
        <v>97</v>
      </c>
      <c r="B129" s="51" t="s">
        <v>990</v>
      </c>
      <c r="C129" s="51" t="s">
        <v>3719</v>
      </c>
    </row>
    <row r="130" spans="1:11" x14ac:dyDescent="0.15">
      <c r="A130" s="51" t="s">
        <v>97</v>
      </c>
      <c r="B130" s="51" t="s">
        <v>990</v>
      </c>
      <c r="C130" s="51" t="s">
        <v>4024</v>
      </c>
    </row>
    <row r="131" spans="1:11" x14ac:dyDescent="0.15">
      <c r="A131" s="51" t="s">
        <v>97</v>
      </c>
      <c r="B131" s="51" t="s">
        <v>990</v>
      </c>
      <c r="C131" s="51" t="s">
        <v>4022</v>
      </c>
    </row>
    <row r="132" spans="1:11" x14ac:dyDescent="0.15">
      <c r="A132" s="51" t="s">
        <v>97</v>
      </c>
      <c r="B132" s="51" t="s">
        <v>990</v>
      </c>
      <c r="C132" s="51" t="s">
        <v>3720</v>
      </c>
      <c r="F132" s="52">
        <v>25.3</v>
      </c>
      <c r="G132" s="51" t="s">
        <v>4159</v>
      </c>
    </row>
    <row r="133" spans="1:11" x14ac:dyDescent="0.15">
      <c r="A133" s="51" t="s">
        <v>97</v>
      </c>
      <c r="B133" s="51" t="s">
        <v>990</v>
      </c>
      <c r="C133" s="51" t="s">
        <v>997</v>
      </c>
      <c r="F133" s="52">
        <v>5.3</v>
      </c>
      <c r="G133" s="51" t="s">
        <v>4159</v>
      </c>
    </row>
    <row r="134" spans="1:11" x14ac:dyDescent="0.15">
      <c r="A134" s="51" t="s">
        <v>97</v>
      </c>
      <c r="B134" s="51" t="s">
        <v>990</v>
      </c>
      <c r="C134" s="51" t="s">
        <v>3491</v>
      </c>
      <c r="D134" s="52">
        <v>25</v>
      </c>
      <c r="E134" s="51" t="s">
        <v>4223</v>
      </c>
      <c r="F134" s="52">
        <v>49</v>
      </c>
      <c r="G134" s="51" t="s">
        <v>4224</v>
      </c>
      <c r="J134" s="52" t="s">
        <v>4225</v>
      </c>
      <c r="K134" s="51" t="s">
        <v>4226</v>
      </c>
    </row>
    <row r="135" spans="1:11" x14ac:dyDescent="0.15">
      <c r="A135" s="51" t="s">
        <v>97</v>
      </c>
      <c r="B135" s="51" t="s">
        <v>990</v>
      </c>
      <c r="C135" s="51" t="s">
        <v>3721</v>
      </c>
      <c r="F135" s="52">
        <v>8.1</v>
      </c>
      <c r="G135" s="51" t="s">
        <v>4159</v>
      </c>
    </row>
    <row r="136" spans="1:11" x14ac:dyDescent="0.15">
      <c r="A136" s="51" t="s">
        <v>97</v>
      </c>
      <c r="B136" s="51" t="s">
        <v>990</v>
      </c>
      <c r="C136" s="51" t="s">
        <v>3722</v>
      </c>
    </row>
    <row r="137" spans="1:11" x14ac:dyDescent="0.15">
      <c r="A137" s="51" t="s">
        <v>97</v>
      </c>
      <c r="B137" s="51" t="s">
        <v>990</v>
      </c>
      <c r="C137" s="51" t="s">
        <v>3723</v>
      </c>
    </row>
    <row r="138" spans="1:11" x14ac:dyDescent="0.15">
      <c r="A138" s="51" t="s">
        <v>97</v>
      </c>
      <c r="B138" s="51" t="s">
        <v>990</v>
      </c>
      <c r="C138" s="51" t="s">
        <v>993</v>
      </c>
      <c r="F138" s="52">
        <v>14.3</v>
      </c>
      <c r="G138" s="51" t="s">
        <v>3975</v>
      </c>
    </row>
    <row r="139" spans="1:11" x14ac:dyDescent="0.15">
      <c r="A139" s="51" t="s">
        <v>97</v>
      </c>
      <c r="B139" s="51" t="s">
        <v>990</v>
      </c>
      <c r="C139" s="51" t="s">
        <v>3724</v>
      </c>
    </row>
    <row r="140" spans="1:11" x14ac:dyDescent="0.15">
      <c r="A140" s="51" t="s">
        <v>202</v>
      </c>
      <c r="B140" s="51" t="s">
        <v>926</v>
      </c>
      <c r="C140" s="51" t="s">
        <v>3725</v>
      </c>
    </row>
    <row r="141" spans="1:11" x14ac:dyDescent="0.15">
      <c r="A141" s="51" t="s">
        <v>202</v>
      </c>
      <c r="B141" s="51" t="s">
        <v>926</v>
      </c>
      <c r="C141" s="51" t="s">
        <v>927</v>
      </c>
      <c r="F141" s="52">
        <v>21.7</v>
      </c>
      <c r="G141" s="51" t="s">
        <v>4159</v>
      </c>
    </row>
    <row r="142" spans="1:11" x14ac:dyDescent="0.15">
      <c r="A142" s="51" t="s">
        <v>202</v>
      </c>
      <c r="B142" s="51" t="s">
        <v>926</v>
      </c>
      <c r="C142" s="51" t="s">
        <v>928</v>
      </c>
    </row>
    <row r="143" spans="1:11" x14ac:dyDescent="0.15">
      <c r="A143" s="51" t="s">
        <v>202</v>
      </c>
      <c r="B143" s="51" t="s">
        <v>926</v>
      </c>
      <c r="C143" s="51" t="s">
        <v>941</v>
      </c>
      <c r="F143" s="52">
        <v>6.8</v>
      </c>
      <c r="G143" s="51" t="s">
        <v>3975</v>
      </c>
    </row>
    <row r="144" spans="1:11" x14ac:dyDescent="0.15">
      <c r="A144" s="51" t="s">
        <v>202</v>
      </c>
      <c r="B144" s="51" t="s">
        <v>926</v>
      </c>
      <c r="C144" s="51" t="s">
        <v>942</v>
      </c>
      <c r="J144" s="51" t="s">
        <v>4161</v>
      </c>
      <c r="K144" s="51" t="s">
        <v>4161</v>
      </c>
    </row>
    <row r="145" spans="1:11" x14ac:dyDescent="0.15">
      <c r="A145" s="51" t="s">
        <v>202</v>
      </c>
      <c r="B145" s="51" t="s">
        <v>926</v>
      </c>
      <c r="C145" s="51" t="s">
        <v>3726</v>
      </c>
      <c r="J145" s="51" t="s">
        <v>4161</v>
      </c>
      <c r="K145" s="51" t="s">
        <v>4161</v>
      </c>
    </row>
    <row r="146" spans="1:11" x14ac:dyDescent="0.15">
      <c r="A146" s="51" t="s">
        <v>202</v>
      </c>
      <c r="B146" s="51" t="s">
        <v>931</v>
      </c>
      <c r="C146" s="51" t="s">
        <v>932</v>
      </c>
      <c r="F146" s="52">
        <v>38.200000000000003</v>
      </c>
      <c r="G146" s="51" t="s">
        <v>4159</v>
      </c>
    </row>
    <row r="147" spans="1:11" x14ac:dyDescent="0.15">
      <c r="A147" s="51" t="s">
        <v>202</v>
      </c>
      <c r="B147" s="51" t="s">
        <v>931</v>
      </c>
      <c r="C147" s="51" t="s">
        <v>3727</v>
      </c>
      <c r="F147" s="52">
        <v>15</v>
      </c>
      <c r="G147" s="51" t="s">
        <v>4227</v>
      </c>
      <c r="J147" s="51" t="s">
        <v>4161</v>
      </c>
      <c r="K147" s="51" t="s">
        <v>4161</v>
      </c>
    </row>
    <row r="148" spans="1:11" x14ac:dyDescent="0.15">
      <c r="A148" s="51" t="s">
        <v>202</v>
      </c>
      <c r="B148" s="51" t="s">
        <v>931</v>
      </c>
      <c r="C148" s="51" t="s">
        <v>2352</v>
      </c>
    </row>
    <row r="149" spans="1:11" x14ac:dyDescent="0.15">
      <c r="A149" s="51" t="s">
        <v>202</v>
      </c>
      <c r="B149" s="51" t="s">
        <v>931</v>
      </c>
      <c r="C149" s="51" t="s">
        <v>3728</v>
      </c>
    </row>
    <row r="150" spans="1:11" x14ac:dyDescent="0.15">
      <c r="A150" s="51" t="s">
        <v>202</v>
      </c>
      <c r="B150" s="51" t="s">
        <v>931</v>
      </c>
      <c r="C150" s="51" t="s">
        <v>3976</v>
      </c>
    </row>
    <row r="151" spans="1:11" x14ac:dyDescent="0.15">
      <c r="A151" s="51" t="s">
        <v>202</v>
      </c>
      <c r="B151" s="51" t="s">
        <v>931</v>
      </c>
      <c r="C151" s="51" t="s">
        <v>933</v>
      </c>
      <c r="F151" s="52">
        <v>50</v>
      </c>
      <c r="G151" s="51" t="s">
        <v>4228</v>
      </c>
    </row>
    <row r="152" spans="1:11" x14ac:dyDescent="0.15">
      <c r="A152" s="51" t="s">
        <v>202</v>
      </c>
      <c r="B152" s="51" t="s">
        <v>931</v>
      </c>
      <c r="C152" s="51" t="s">
        <v>2353</v>
      </c>
      <c r="J152" s="51" t="s">
        <v>4161</v>
      </c>
      <c r="K152" s="51" t="s">
        <v>4161</v>
      </c>
    </row>
    <row r="153" spans="1:11" x14ac:dyDescent="0.15">
      <c r="A153" s="51" t="s">
        <v>202</v>
      </c>
      <c r="B153" s="51" t="s">
        <v>931</v>
      </c>
      <c r="C153" s="51" t="s">
        <v>934</v>
      </c>
      <c r="F153" s="52">
        <v>35</v>
      </c>
      <c r="G153" s="51" t="s">
        <v>3977</v>
      </c>
      <c r="J153" s="51" t="s">
        <v>4161</v>
      </c>
      <c r="K153" s="51" t="s">
        <v>4161</v>
      </c>
    </row>
    <row r="154" spans="1:11" x14ac:dyDescent="0.15">
      <c r="A154" s="51" t="s">
        <v>202</v>
      </c>
      <c r="B154" s="51" t="s">
        <v>931</v>
      </c>
      <c r="C154" s="51" t="s">
        <v>3729</v>
      </c>
      <c r="J154" s="51" t="s">
        <v>4161</v>
      </c>
      <c r="K154" s="51" t="s">
        <v>4161</v>
      </c>
    </row>
    <row r="155" spans="1:11" x14ac:dyDescent="0.15">
      <c r="A155" s="51" t="s">
        <v>202</v>
      </c>
      <c r="B155" s="51" t="s">
        <v>931</v>
      </c>
      <c r="C155" s="51" t="s">
        <v>935</v>
      </c>
    </row>
    <row r="156" spans="1:11" x14ac:dyDescent="0.15">
      <c r="A156" s="51" t="s">
        <v>202</v>
      </c>
      <c r="B156" s="51" t="s">
        <v>931</v>
      </c>
      <c r="C156" s="51" t="s">
        <v>3730</v>
      </c>
      <c r="J156" s="51" t="s">
        <v>4161</v>
      </c>
      <c r="K156" s="51" t="s">
        <v>4161</v>
      </c>
    </row>
    <row r="157" spans="1:11" x14ac:dyDescent="0.15">
      <c r="A157" s="51" t="s">
        <v>202</v>
      </c>
      <c r="B157" s="51" t="s">
        <v>931</v>
      </c>
      <c r="C157" s="51" t="s">
        <v>936</v>
      </c>
      <c r="F157" s="52">
        <v>31.8</v>
      </c>
      <c r="G157" s="51" t="s">
        <v>4159</v>
      </c>
    </row>
    <row r="158" spans="1:11" x14ac:dyDescent="0.15">
      <c r="A158" s="51" t="s">
        <v>202</v>
      </c>
      <c r="B158" s="51" t="s">
        <v>931</v>
      </c>
      <c r="C158" s="51" t="s">
        <v>3731</v>
      </c>
      <c r="J158" s="51" t="s">
        <v>4161</v>
      </c>
      <c r="K158" s="51" t="s">
        <v>4161</v>
      </c>
    </row>
    <row r="159" spans="1:11" x14ac:dyDescent="0.15">
      <c r="A159" s="51" t="s">
        <v>202</v>
      </c>
      <c r="B159" s="51" t="s">
        <v>931</v>
      </c>
      <c r="C159" s="51" t="s">
        <v>3732</v>
      </c>
      <c r="F159" s="52">
        <v>29</v>
      </c>
      <c r="G159" s="51" t="s">
        <v>3978</v>
      </c>
    </row>
    <row r="160" spans="1:11" x14ac:dyDescent="0.15">
      <c r="A160" s="51" t="s">
        <v>202</v>
      </c>
      <c r="B160" s="51" t="s">
        <v>931</v>
      </c>
      <c r="C160" s="51" t="s">
        <v>3733</v>
      </c>
    </row>
    <row r="161" spans="1:11" x14ac:dyDescent="0.15">
      <c r="A161" s="51" t="s">
        <v>202</v>
      </c>
      <c r="B161" s="51" t="s">
        <v>937</v>
      </c>
      <c r="C161" s="51" t="s">
        <v>938</v>
      </c>
      <c r="F161" s="52">
        <v>14.8</v>
      </c>
      <c r="G161" s="51" t="s">
        <v>4159</v>
      </c>
    </row>
    <row r="162" spans="1:11" x14ac:dyDescent="0.15">
      <c r="A162" s="51" t="s">
        <v>202</v>
      </c>
      <c r="B162" s="51" t="s">
        <v>937</v>
      </c>
      <c r="C162" s="51" t="s">
        <v>3734</v>
      </c>
    </row>
    <row r="163" spans="1:11" x14ac:dyDescent="0.15">
      <c r="A163" s="51" t="s">
        <v>202</v>
      </c>
      <c r="B163" s="51" t="s">
        <v>937</v>
      </c>
      <c r="C163" s="51" t="s">
        <v>3735</v>
      </c>
    </row>
    <row r="164" spans="1:11" x14ac:dyDescent="0.15">
      <c r="A164" s="51" t="s">
        <v>202</v>
      </c>
      <c r="B164" s="51" t="s">
        <v>937</v>
      </c>
      <c r="C164" s="51" t="s">
        <v>3736</v>
      </c>
      <c r="J164" s="51" t="s">
        <v>4161</v>
      </c>
      <c r="K164" s="51" t="s">
        <v>4161</v>
      </c>
    </row>
    <row r="165" spans="1:11" x14ac:dyDescent="0.15">
      <c r="A165" s="51" t="s">
        <v>202</v>
      </c>
      <c r="B165" s="51" t="s">
        <v>937</v>
      </c>
      <c r="C165" s="51" t="s">
        <v>4229</v>
      </c>
    </row>
    <row r="166" spans="1:11" x14ac:dyDescent="0.15">
      <c r="A166" s="51" t="s">
        <v>202</v>
      </c>
      <c r="B166" s="51" t="s">
        <v>937</v>
      </c>
      <c r="C166" s="51" t="s">
        <v>3737</v>
      </c>
    </row>
    <row r="167" spans="1:11" x14ac:dyDescent="0.15">
      <c r="A167" s="51" t="s">
        <v>202</v>
      </c>
      <c r="B167" s="51" t="s">
        <v>3494</v>
      </c>
      <c r="C167" s="51" t="s">
        <v>3738</v>
      </c>
      <c r="F167" s="52">
        <v>19.2</v>
      </c>
      <c r="G167" s="51" t="s">
        <v>4159</v>
      </c>
    </row>
    <row r="168" spans="1:11" x14ac:dyDescent="0.15">
      <c r="A168" s="51" t="s">
        <v>202</v>
      </c>
      <c r="B168" s="51" t="s">
        <v>3495</v>
      </c>
      <c r="C168" s="51" t="s">
        <v>946</v>
      </c>
      <c r="J168" s="51" t="s">
        <v>4161</v>
      </c>
      <c r="K168" s="51" t="s">
        <v>4161</v>
      </c>
    </row>
    <row r="169" spans="1:11" x14ac:dyDescent="0.15">
      <c r="A169" s="51" t="s">
        <v>202</v>
      </c>
      <c r="B169" s="51" t="s">
        <v>3495</v>
      </c>
      <c r="C169" s="51" t="s">
        <v>3739</v>
      </c>
      <c r="J169" s="51" t="s">
        <v>4161</v>
      </c>
      <c r="K169" s="51" t="s">
        <v>4161</v>
      </c>
    </row>
    <row r="170" spans="1:11" x14ac:dyDescent="0.15">
      <c r="A170" s="51" t="s">
        <v>202</v>
      </c>
      <c r="B170" s="51" t="s">
        <v>3496</v>
      </c>
      <c r="C170" s="51" t="s">
        <v>3740</v>
      </c>
      <c r="F170" s="52">
        <v>18</v>
      </c>
      <c r="G170" s="51" t="s">
        <v>4159</v>
      </c>
    </row>
    <row r="171" spans="1:11" x14ac:dyDescent="0.15">
      <c r="A171" s="51" t="s">
        <v>202</v>
      </c>
      <c r="B171" s="51" t="s">
        <v>940</v>
      </c>
      <c r="C171" s="51" t="s">
        <v>3741</v>
      </c>
      <c r="F171" s="52">
        <v>9.3000000000000007</v>
      </c>
      <c r="G171" s="51" t="s">
        <v>4159</v>
      </c>
    </row>
    <row r="172" spans="1:11" x14ac:dyDescent="0.15">
      <c r="A172" s="51" t="s">
        <v>202</v>
      </c>
      <c r="B172" s="51" t="s">
        <v>940</v>
      </c>
      <c r="C172" s="51" t="s">
        <v>3696</v>
      </c>
    </row>
    <row r="173" spans="1:11" x14ac:dyDescent="0.15">
      <c r="A173" s="51" t="s">
        <v>202</v>
      </c>
      <c r="B173" s="51" t="s">
        <v>940</v>
      </c>
      <c r="C173" s="51" t="s">
        <v>939</v>
      </c>
      <c r="F173" s="52">
        <v>29.6</v>
      </c>
      <c r="G173" s="51" t="s">
        <v>4159</v>
      </c>
    </row>
    <row r="174" spans="1:11" x14ac:dyDescent="0.15">
      <c r="A174" s="51" t="s">
        <v>202</v>
      </c>
      <c r="B174" s="51" t="s">
        <v>940</v>
      </c>
      <c r="C174" s="51" t="s">
        <v>3742</v>
      </c>
      <c r="F174" s="52">
        <v>24</v>
      </c>
      <c r="G174" s="51" t="s">
        <v>4230</v>
      </c>
      <c r="J174" s="52">
        <v>22.9</v>
      </c>
      <c r="K174" s="51" t="s">
        <v>4159</v>
      </c>
    </row>
    <row r="175" spans="1:11" x14ac:dyDescent="0.15">
      <c r="A175" s="51" t="s">
        <v>202</v>
      </c>
      <c r="B175" s="51" t="s">
        <v>3497</v>
      </c>
      <c r="C175" s="51" t="s">
        <v>3743</v>
      </c>
      <c r="J175" s="51" t="s">
        <v>4161</v>
      </c>
      <c r="K175" s="51" t="s">
        <v>4161</v>
      </c>
    </row>
    <row r="176" spans="1:11" x14ac:dyDescent="0.15">
      <c r="A176" s="51" t="s">
        <v>202</v>
      </c>
      <c r="B176" s="51" t="s">
        <v>3498</v>
      </c>
      <c r="C176" s="51" t="s">
        <v>3744</v>
      </c>
    </row>
    <row r="177" spans="1:13" x14ac:dyDescent="0.15">
      <c r="A177" s="51" t="s">
        <v>202</v>
      </c>
      <c r="B177" s="51" t="s">
        <v>3498</v>
      </c>
      <c r="C177" s="51" t="s">
        <v>1051</v>
      </c>
    </row>
    <row r="178" spans="1:13" x14ac:dyDescent="0.15">
      <c r="A178" s="51" t="s">
        <v>202</v>
      </c>
      <c r="B178" s="51" t="s">
        <v>3498</v>
      </c>
      <c r="C178" s="51" t="s">
        <v>3745</v>
      </c>
      <c r="F178" s="52">
        <v>14.2</v>
      </c>
      <c r="G178" s="51" t="s">
        <v>4159</v>
      </c>
    </row>
    <row r="179" spans="1:13" x14ac:dyDescent="0.15">
      <c r="A179" s="51" t="s">
        <v>202</v>
      </c>
      <c r="B179" s="51" t="s">
        <v>929</v>
      </c>
      <c r="C179" s="51" t="s">
        <v>3746</v>
      </c>
      <c r="F179" s="52">
        <v>46</v>
      </c>
      <c r="G179" s="51" t="s">
        <v>4231</v>
      </c>
    </row>
    <row r="180" spans="1:13" x14ac:dyDescent="0.15">
      <c r="A180" s="51" t="s">
        <v>202</v>
      </c>
      <c r="B180" s="51" t="s">
        <v>929</v>
      </c>
      <c r="C180" s="51" t="s">
        <v>3747</v>
      </c>
      <c r="F180" s="52">
        <v>17.600000000000001</v>
      </c>
      <c r="G180" s="51" t="s">
        <v>4193</v>
      </c>
    </row>
    <row r="181" spans="1:13" x14ac:dyDescent="0.15">
      <c r="A181" s="51" t="s">
        <v>202</v>
      </c>
      <c r="B181" s="51" t="s">
        <v>929</v>
      </c>
      <c r="C181" s="51" t="s">
        <v>946</v>
      </c>
      <c r="F181" s="52">
        <v>16.2</v>
      </c>
      <c r="G181" s="51" t="s">
        <v>4159</v>
      </c>
    </row>
    <row r="182" spans="1:13" x14ac:dyDescent="0.15">
      <c r="A182" s="51" t="s">
        <v>202</v>
      </c>
      <c r="B182" s="51" t="s">
        <v>929</v>
      </c>
      <c r="C182" s="51" t="s">
        <v>947</v>
      </c>
      <c r="F182" s="52">
        <v>24.5</v>
      </c>
      <c r="G182" s="51" t="s">
        <v>4159</v>
      </c>
    </row>
    <row r="183" spans="1:13" x14ac:dyDescent="0.15">
      <c r="A183" s="51" t="s">
        <v>202</v>
      </c>
      <c r="B183" s="51" t="s">
        <v>929</v>
      </c>
      <c r="C183" s="51" t="s">
        <v>948</v>
      </c>
      <c r="F183" s="52">
        <v>22.1</v>
      </c>
      <c r="G183" s="51" t="s">
        <v>4159</v>
      </c>
    </row>
    <row r="184" spans="1:13" x14ac:dyDescent="0.15">
      <c r="A184" s="51" t="s">
        <v>202</v>
      </c>
      <c r="B184" s="51" t="s">
        <v>929</v>
      </c>
      <c r="C184" s="51" t="s">
        <v>3748</v>
      </c>
      <c r="F184" s="52">
        <v>46</v>
      </c>
      <c r="G184" s="51" t="s">
        <v>4232</v>
      </c>
      <c r="J184" s="52">
        <v>13.3</v>
      </c>
      <c r="K184" s="51" t="s">
        <v>4159</v>
      </c>
      <c r="M184" s="51" t="s">
        <v>4233</v>
      </c>
    </row>
    <row r="185" spans="1:13" x14ac:dyDescent="0.15">
      <c r="A185" s="51" t="s">
        <v>202</v>
      </c>
      <c r="B185" s="51" t="s">
        <v>929</v>
      </c>
      <c r="C185" s="51" t="s">
        <v>930</v>
      </c>
      <c r="F185" s="52">
        <v>29</v>
      </c>
      <c r="G185" s="51" t="s">
        <v>4234</v>
      </c>
      <c r="J185" s="52">
        <v>24.3</v>
      </c>
      <c r="K185" s="51" t="s">
        <v>4235</v>
      </c>
    </row>
    <row r="186" spans="1:13" x14ac:dyDescent="0.15">
      <c r="A186" s="51" t="s">
        <v>202</v>
      </c>
      <c r="B186" s="51" t="s">
        <v>929</v>
      </c>
      <c r="C186" s="51" t="s">
        <v>949</v>
      </c>
      <c r="F186" s="52">
        <v>17.600000000000001</v>
      </c>
      <c r="G186" s="51" t="s">
        <v>3975</v>
      </c>
      <c r="J186" s="52">
        <v>13.3</v>
      </c>
      <c r="K186" s="51" t="s">
        <v>4159</v>
      </c>
    </row>
    <row r="187" spans="1:13" x14ac:dyDescent="0.15">
      <c r="A187" s="51" t="s">
        <v>202</v>
      </c>
      <c r="B187" s="51" t="s">
        <v>929</v>
      </c>
      <c r="C187" s="51" t="s">
        <v>952</v>
      </c>
      <c r="F187" s="52">
        <v>22.8</v>
      </c>
      <c r="G187" s="51" t="s">
        <v>4159</v>
      </c>
    </row>
    <row r="188" spans="1:13" x14ac:dyDescent="0.15">
      <c r="A188" s="51" t="s">
        <v>202</v>
      </c>
      <c r="B188" s="51" t="s">
        <v>951</v>
      </c>
      <c r="C188" s="51" t="s">
        <v>3749</v>
      </c>
      <c r="J188" s="51" t="s">
        <v>4161</v>
      </c>
      <c r="K188" s="51" t="s">
        <v>4161</v>
      </c>
    </row>
    <row r="189" spans="1:13" x14ac:dyDescent="0.15">
      <c r="A189" s="51" t="s">
        <v>202</v>
      </c>
      <c r="B189" s="51" t="s">
        <v>951</v>
      </c>
      <c r="C189" s="51" t="s">
        <v>950</v>
      </c>
      <c r="F189" s="52">
        <v>40</v>
      </c>
      <c r="G189" s="51" t="s">
        <v>4159</v>
      </c>
    </row>
    <row r="190" spans="1:13" x14ac:dyDescent="0.15">
      <c r="A190" s="51" t="s">
        <v>202</v>
      </c>
      <c r="B190" s="51" t="s">
        <v>3502</v>
      </c>
      <c r="C190" s="51" t="s">
        <v>3750</v>
      </c>
    </row>
    <row r="191" spans="1:13" x14ac:dyDescent="0.15">
      <c r="A191" s="51" t="s">
        <v>202</v>
      </c>
      <c r="B191" s="51" t="s">
        <v>3502</v>
      </c>
      <c r="C191" s="51" t="s">
        <v>3751</v>
      </c>
    </row>
    <row r="192" spans="1:13" x14ac:dyDescent="0.15">
      <c r="A192" s="51" t="s">
        <v>202</v>
      </c>
      <c r="B192" s="51" t="s">
        <v>3503</v>
      </c>
      <c r="C192" s="51" t="s">
        <v>3752</v>
      </c>
      <c r="F192" s="52">
        <v>18.8</v>
      </c>
      <c r="G192" s="51" t="s">
        <v>4159</v>
      </c>
    </row>
    <row r="193" spans="1:11" x14ac:dyDescent="0.15">
      <c r="A193" s="51" t="s">
        <v>202</v>
      </c>
      <c r="B193" s="51" t="s">
        <v>953</v>
      </c>
      <c r="C193" s="51" t="s">
        <v>954</v>
      </c>
      <c r="F193" s="52">
        <v>8.5</v>
      </c>
      <c r="G193" s="51" t="s">
        <v>3980</v>
      </c>
    </row>
    <row r="194" spans="1:11" x14ac:dyDescent="0.15">
      <c r="A194" s="51" t="s">
        <v>202</v>
      </c>
      <c r="B194" s="51" t="s">
        <v>944</v>
      </c>
      <c r="C194" s="51" t="s">
        <v>3753</v>
      </c>
      <c r="F194" s="52">
        <v>13.8</v>
      </c>
      <c r="G194" s="51" t="s">
        <v>4236</v>
      </c>
    </row>
    <row r="195" spans="1:11" x14ac:dyDescent="0.15">
      <c r="A195" s="51" t="s">
        <v>202</v>
      </c>
      <c r="B195" s="51" t="s">
        <v>944</v>
      </c>
      <c r="C195" s="51" t="s">
        <v>3754</v>
      </c>
      <c r="J195" s="51" t="s">
        <v>4161</v>
      </c>
      <c r="K195" s="51" t="s">
        <v>4161</v>
      </c>
    </row>
    <row r="196" spans="1:11" x14ac:dyDescent="0.15">
      <c r="A196" s="51" t="s">
        <v>202</v>
      </c>
      <c r="B196" s="51" t="s">
        <v>944</v>
      </c>
      <c r="C196" s="51" t="s">
        <v>943</v>
      </c>
      <c r="F196" s="52">
        <v>3.4</v>
      </c>
      <c r="G196" s="51" t="s">
        <v>3975</v>
      </c>
    </row>
    <row r="197" spans="1:11" x14ac:dyDescent="0.15">
      <c r="A197" s="51" t="s">
        <v>202</v>
      </c>
      <c r="B197" s="51" t="s">
        <v>944</v>
      </c>
      <c r="C197" s="51" t="s">
        <v>945</v>
      </c>
      <c r="F197" s="52">
        <v>11</v>
      </c>
      <c r="G197" s="51" t="s">
        <v>4159</v>
      </c>
    </row>
    <row r="198" spans="1:11" x14ac:dyDescent="0.15">
      <c r="A198" s="51" t="s">
        <v>202</v>
      </c>
      <c r="B198" s="51" t="s">
        <v>956</v>
      </c>
      <c r="C198" s="51" t="s">
        <v>955</v>
      </c>
      <c r="F198" s="52">
        <v>30</v>
      </c>
      <c r="G198" s="51" t="s">
        <v>4237</v>
      </c>
      <c r="J198" s="51" t="s">
        <v>4161</v>
      </c>
      <c r="K198" s="51" t="s">
        <v>4161</v>
      </c>
    </row>
    <row r="199" spans="1:11" x14ac:dyDescent="0.15">
      <c r="A199" s="51" t="s">
        <v>202</v>
      </c>
      <c r="B199" s="51" t="s">
        <v>956</v>
      </c>
      <c r="C199" s="51" t="s">
        <v>957</v>
      </c>
      <c r="F199" s="52">
        <v>19.3</v>
      </c>
      <c r="G199" s="51" t="s">
        <v>4159</v>
      </c>
    </row>
    <row r="200" spans="1:11" x14ac:dyDescent="0.15">
      <c r="A200" s="51" t="s">
        <v>202</v>
      </c>
      <c r="B200" s="51" t="s">
        <v>956</v>
      </c>
      <c r="C200" s="51" t="s">
        <v>3755</v>
      </c>
    </row>
    <row r="201" spans="1:11" x14ac:dyDescent="0.15">
      <c r="A201" s="51" t="s">
        <v>202</v>
      </c>
      <c r="B201" s="51" t="s">
        <v>956</v>
      </c>
      <c r="C201" s="51" t="s">
        <v>3756</v>
      </c>
      <c r="F201" s="52">
        <v>30</v>
      </c>
      <c r="G201" s="51" t="s">
        <v>4238</v>
      </c>
      <c r="J201" s="51" t="s">
        <v>4161</v>
      </c>
      <c r="K201" s="51" t="s">
        <v>4161</v>
      </c>
    </row>
    <row r="202" spans="1:11" x14ac:dyDescent="0.15">
      <c r="A202" s="51" t="s">
        <v>202</v>
      </c>
      <c r="B202" s="51" t="s">
        <v>956</v>
      </c>
      <c r="C202" s="51" t="s">
        <v>958</v>
      </c>
      <c r="F202" s="52">
        <v>50</v>
      </c>
      <c r="G202" s="51" t="s">
        <v>4239</v>
      </c>
    </row>
    <row r="203" spans="1:11" x14ac:dyDescent="0.15">
      <c r="A203" s="51" t="s">
        <v>202</v>
      </c>
      <c r="B203" s="51" t="s">
        <v>956</v>
      </c>
      <c r="C203" s="51" t="s">
        <v>959</v>
      </c>
      <c r="J203" s="51" t="s">
        <v>4161</v>
      </c>
      <c r="K203" s="51" t="s">
        <v>4161</v>
      </c>
    </row>
    <row r="204" spans="1:11" x14ac:dyDescent="0.15">
      <c r="A204" s="51" t="s">
        <v>202</v>
      </c>
      <c r="B204" s="51" t="s">
        <v>956</v>
      </c>
      <c r="C204" s="51" t="s">
        <v>960</v>
      </c>
      <c r="F204" s="52">
        <v>27</v>
      </c>
      <c r="G204" s="51" t="s">
        <v>4240</v>
      </c>
      <c r="H204" s="52">
        <v>20.399999999999999</v>
      </c>
      <c r="I204" s="51" t="s">
        <v>4159</v>
      </c>
    </row>
    <row r="205" spans="1:11" x14ac:dyDescent="0.15">
      <c r="A205" s="51" t="s">
        <v>202</v>
      </c>
      <c r="B205" s="51" t="s">
        <v>956</v>
      </c>
      <c r="C205" s="51" t="s">
        <v>961</v>
      </c>
      <c r="F205" s="52">
        <v>5.8</v>
      </c>
      <c r="G205" s="51" t="s">
        <v>3975</v>
      </c>
    </row>
    <row r="206" spans="1:11" x14ac:dyDescent="0.15">
      <c r="A206" s="51" t="s">
        <v>202</v>
      </c>
      <c r="B206" s="51" t="s">
        <v>956</v>
      </c>
      <c r="C206" s="51" t="s">
        <v>3757</v>
      </c>
      <c r="F206" s="52">
        <v>11.8</v>
      </c>
      <c r="G206" s="51" t="s">
        <v>4159</v>
      </c>
    </row>
    <row r="207" spans="1:11" x14ac:dyDescent="0.15">
      <c r="A207" s="51" t="s">
        <v>202</v>
      </c>
      <c r="B207" s="51" t="s">
        <v>3509</v>
      </c>
      <c r="C207" s="51" t="s">
        <v>3758</v>
      </c>
      <c r="F207" s="52">
        <v>27.3</v>
      </c>
      <c r="G207" s="51" t="s">
        <v>4159</v>
      </c>
    </row>
    <row r="208" spans="1:11" x14ac:dyDescent="0.15">
      <c r="A208" s="51" t="s">
        <v>202</v>
      </c>
      <c r="B208" s="51" t="s">
        <v>3509</v>
      </c>
      <c r="C208" s="51" t="s">
        <v>3759</v>
      </c>
      <c r="J208" s="51" t="s">
        <v>4161</v>
      </c>
      <c r="K208" s="51" t="s">
        <v>4161</v>
      </c>
    </row>
    <row r="209" spans="1:11" x14ac:dyDescent="0.15">
      <c r="A209" s="51" t="s">
        <v>202</v>
      </c>
      <c r="B209" s="51" t="s">
        <v>962</v>
      </c>
      <c r="C209" s="51" t="s">
        <v>963</v>
      </c>
      <c r="F209" s="52">
        <v>16.7</v>
      </c>
      <c r="G209" s="51" t="s">
        <v>4159</v>
      </c>
    </row>
    <row r="210" spans="1:11" x14ac:dyDescent="0.15">
      <c r="A210" s="51" t="s">
        <v>202</v>
      </c>
      <c r="B210" s="51" t="s">
        <v>962</v>
      </c>
      <c r="C210" s="51" t="s">
        <v>3760</v>
      </c>
    </row>
    <row r="211" spans="1:11" x14ac:dyDescent="0.15">
      <c r="A211" s="51" t="s">
        <v>202</v>
      </c>
      <c r="B211" s="51" t="s">
        <v>3510</v>
      </c>
      <c r="C211" s="51" t="s">
        <v>3761</v>
      </c>
      <c r="J211" s="51" t="s">
        <v>4161</v>
      </c>
      <c r="K211" s="51" t="s">
        <v>4161</v>
      </c>
    </row>
    <row r="212" spans="1:11" x14ac:dyDescent="0.15">
      <c r="A212" s="51" t="s">
        <v>221</v>
      </c>
      <c r="B212" s="51" t="s">
        <v>3511</v>
      </c>
      <c r="C212" s="51" t="s">
        <v>3762</v>
      </c>
      <c r="F212" s="52">
        <v>16.2</v>
      </c>
      <c r="G212" s="51" t="s">
        <v>4159</v>
      </c>
    </row>
    <row r="213" spans="1:11" x14ac:dyDescent="0.15">
      <c r="A213" s="51" t="s">
        <v>221</v>
      </c>
      <c r="B213" s="51" t="s">
        <v>27</v>
      </c>
      <c r="C213" s="51" t="s">
        <v>3763</v>
      </c>
      <c r="F213" s="52">
        <v>26.1</v>
      </c>
      <c r="G213" s="51" t="s">
        <v>4159</v>
      </c>
      <c r="J213" s="52">
        <v>10</v>
      </c>
      <c r="K213" s="51" t="s">
        <v>3961</v>
      </c>
    </row>
    <row r="214" spans="1:11" x14ac:dyDescent="0.15">
      <c r="A214" s="51" t="s">
        <v>221</v>
      </c>
      <c r="B214" s="51" t="s">
        <v>27</v>
      </c>
      <c r="C214" s="51" t="s">
        <v>3764</v>
      </c>
    </row>
    <row r="215" spans="1:11" x14ac:dyDescent="0.15">
      <c r="A215" s="51" t="s">
        <v>221</v>
      </c>
      <c r="B215" s="51" t="s">
        <v>27</v>
      </c>
      <c r="C215" s="51" t="s">
        <v>3765</v>
      </c>
      <c r="F215" s="52">
        <v>45</v>
      </c>
      <c r="G215" s="51" t="s">
        <v>4241</v>
      </c>
      <c r="J215" s="51" t="s">
        <v>4161</v>
      </c>
      <c r="K215" s="51" t="s">
        <v>4161</v>
      </c>
    </row>
    <row r="216" spans="1:11" x14ac:dyDescent="0.15">
      <c r="A216" s="51" t="s">
        <v>221</v>
      </c>
      <c r="B216" s="51" t="s">
        <v>27</v>
      </c>
      <c r="C216" s="51" t="s">
        <v>3766</v>
      </c>
      <c r="F216" s="52">
        <v>51</v>
      </c>
      <c r="G216" s="51" t="s">
        <v>4242</v>
      </c>
      <c r="J216" s="52">
        <v>16.2</v>
      </c>
      <c r="K216" s="51" t="s">
        <v>3959</v>
      </c>
    </row>
    <row r="217" spans="1:11" x14ac:dyDescent="0.15">
      <c r="A217" s="51" t="s">
        <v>221</v>
      </c>
      <c r="B217" s="51" t="s">
        <v>27</v>
      </c>
      <c r="C217" s="51" t="s">
        <v>999</v>
      </c>
      <c r="F217" s="52">
        <v>59.6</v>
      </c>
      <c r="G217" s="51" t="s">
        <v>4243</v>
      </c>
      <c r="J217" s="52">
        <v>49.6</v>
      </c>
      <c r="K217" s="51" t="s">
        <v>4160</v>
      </c>
    </row>
    <row r="218" spans="1:11" x14ac:dyDescent="0.15">
      <c r="A218" s="51" t="s">
        <v>221</v>
      </c>
      <c r="B218" s="51" t="s">
        <v>27</v>
      </c>
      <c r="C218" s="51" t="s">
        <v>3767</v>
      </c>
      <c r="J218" s="51" t="s">
        <v>4161</v>
      </c>
      <c r="K218" s="51" t="s">
        <v>4161</v>
      </c>
    </row>
    <row r="219" spans="1:11" x14ac:dyDescent="0.15">
      <c r="A219" s="51" t="s">
        <v>221</v>
      </c>
      <c r="B219" s="51" t="s">
        <v>27</v>
      </c>
      <c r="C219" s="51" t="s">
        <v>3768</v>
      </c>
    </row>
    <row r="220" spans="1:11" x14ac:dyDescent="0.15">
      <c r="A220" s="51" t="s">
        <v>221</v>
      </c>
      <c r="B220" s="51" t="s">
        <v>27</v>
      </c>
      <c r="C220" s="51" t="s">
        <v>1000</v>
      </c>
      <c r="J220" s="51" t="s">
        <v>4161</v>
      </c>
      <c r="K220" s="51" t="s">
        <v>4161</v>
      </c>
    </row>
    <row r="221" spans="1:11" x14ac:dyDescent="0.15">
      <c r="A221" s="51" t="s">
        <v>221</v>
      </c>
      <c r="B221" s="51" t="s">
        <v>27</v>
      </c>
      <c r="C221" s="51" t="s">
        <v>3769</v>
      </c>
      <c r="J221" s="51" t="s">
        <v>4161</v>
      </c>
      <c r="K221" s="51" t="s">
        <v>4161</v>
      </c>
    </row>
    <row r="222" spans="1:11" x14ac:dyDescent="0.15">
      <c r="A222" s="51" t="s">
        <v>221</v>
      </c>
      <c r="B222" s="51" t="s">
        <v>27</v>
      </c>
      <c r="C222" s="51" t="s">
        <v>3770</v>
      </c>
    </row>
    <row r="223" spans="1:11" x14ac:dyDescent="0.15">
      <c r="A223" s="51" t="s">
        <v>221</v>
      </c>
      <c r="B223" s="51" t="s">
        <v>27</v>
      </c>
      <c r="C223" s="51" t="s">
        <v>1001</v>
      </c>
      <c r="D223" s="52">
        <v>54</v>
      </c>
      <c r="E223" s="51" t="s">
        <v>3981</v>
      </c>
      <c r="F223" s="52">
        <v>10.3</v>
      </c>
      <c r="G223" s="51" t="s">
        <v>4159</v>
      </c>
    </row>
    <row r="224" spans="1:11" x14ac:dyDescent="0.15">
      <c r="A224" s="51" t="s">
        <v>221</v>
      </c>
      <c r="B224" s="51" t="s">
        <v>27</v>
      </c>
      <c r="C224" s="51" t="s">
        <v>1002</v>
      </c>
      <c r="F224" s="52">
        <v>19.5</v>
      </c>
      <c r="G224" s="51" t="s">
        <v>4159</v>
      </c>
    </row>
    <row r="225" spans="1:11" x14ac:dyDescent="0.15">
      <c r="A225" s="51" t="s">
        <v>221</v>
      </c>
      <c r="B225" s="51" t="s">
        <v>27</v>
      </c>
      <c r="C225" s="51" t="s">
        <v>1003</v>
      </c>
      <c r="D225" s="52">
        <v>10</v>
      </c>
      <c r="E225" s="51" t="s">
        <v>613</v>
      </c>
      <c r="J225" s="51" t="s">
        <v>4161</v>
      </c>
      <c r="K225" s="51" t="s">
        <v>4161</v>
      </c>
    </row>
    <row r="226" spans="1:11" x14ac:dyDescent="0.15">
      <c r="A226" s="51" t="s">
        <v>221</v>
      </c>
      <c r="B226" s="51" t="s">
        <v>27</v>
      </c>
      <c r="C226" s="51" t="s">
        <v>1004</v>
      </c>
      <c r="F226" s="52">
        <v>33.1</v>
      </c>
      <c r="G226" s="51" t="s">
        <v>4244</v>
      </c>
      <c r="J226" s="52">
        <v>18.5</v>
      </c>
      <c r="K226" s="51" t="s">
        <v>4159</v>
      </c>
    </row>
    <row r="227" spans="1:11" x14ac:dyDescent="0.15">
      <c r="A227" s="51" t="s">
        <v>221</v>
      </c>
      <c r="B227" s="51" t="s">
        <v>27</v>
      </c>
      <c r="C227" s="51" t="s">
        <v>1005</v>
      </c>
      <c r="F227" s="52">
        <v>19.2</v>
      </c>
      <c r="G227" s="51" t="s">
        <v>4159</v>
      </c>
    </row>
    <row r="228" spans="1:11" x14ac:dyDescent="0.15">
      <c r="A228" s="51" t="s">
        <v>221</v>
      </c>
      <c r="B228" s="51" t="s">
        <v>27</v>
      </c>
      <c r="C228" s="51" t="s">
        <v>3771</v>
      </c>
    </row>
    <row r="229" spans="1:11" x14ac:dyDescent="0.15">
      <c r="A229" s="51" t="s">
        <v>221</v>
      </c>
      <c r="B229" s="51" t="s">
        <v>27</v>
      </c>
      <c r="C229" s="51" t="s">
        <v>1006</v>
      </c>
      <c r="F229" s="52">
        <v>44.7</v>
      </c>
      <c r="G229" s="51" t="s">
        <v>4159</v>
      </c>
      <c r="J229" s="52">
        <v>38</v>
      </c>
      <c r="K229" s="51" t="s">
        <v>4245</v>
      </c>
    </row>
    <row r="230" spans="1:11" x14ac:dyDescent="0.15">
      <c r="A230" s="51" t="s">
        <v>221</v>
      </c>
      <c r="B230" s="51" t="s">
        <v>27</v>
      </c>
      <c r="C230" s="51" t="s">
        <v>1008</v>
      </c>
      <c r="F230" s="52">
        <v>45</v>
      </c>
      <c r="G230" s="51" t="s">
        <v>4159</v>
      </c>
      <c r="J230" s="52">
        <v>36.5</v>
      </c>
      <c r="K230" s="51" t="s">
        <v>4160</v>
      </c>
    </row>
    <row r="231" spans="1:11" x14ac:dyDescent="0.15">
      <c r="A231" s="51" t="s">
        <v>221</v>
      </c>
      <c r="B231" s="51" t="s">
        <v>27</v>
      </c>
      <c r="C231" s="51" t="s">
        <v>3664</v>
      </c>
    </row>
    <row r="232" spans="1:11" x14ac:dyDescent="0.15">
      <c r="A232" s="51" t="s">
        <v>221</v>
      </c>
      <c r="B232" s="51" t="s">
        <v>27</v>
      </c>
      <c r="C232" s="51" t="s">
        <v>3721</v>
      </c>
    </row>
    <row r="233" spans="1:11" x14ac:dyDescent="0.15">
      <c r="A233" s="51" t="s">
        <v>221</v>
      </c>
      <c r="B233" s="51" t="s">
        <v>27</v>
      </c>
      <c r="C233" s="51" t="s">
        <v>1009</v>
      </c>
      <c r="D233" s="52">
        <v>24</v>
      </c>
      <c r="E233" s="51" t="s">
        <v>4223</v>
      </c>
      <c r="F233" s="52">
        <v>38</v>
      </c>
      <c r="G233" s="51" t="s">
        <v>4246</v>
      </c>
      <c r="H233" s="52">
        <v>25</v>
      </c>
      <c r="I233" s="51" t="s">
        <v>3975</v>
      </c>
      <c r="J233" s="52">
        <v>40</v>
      </c>
      <c r="K233" s="51" t="s">
        <v>4247</v>
      </c>
    </row>
    <row r="234" spans="1:11" x14ac:dyDescent="0.15">
      <c r="A234" s="51" t="s">
        <v>221</v>
      </c>
      <c r="B234" s="51" t="s">
        <v>27</v>
      </c>
      <c r="C234" s="51" t="s">
        <v>3772</v>
      </c>
    </row>
    <row r="235" spans="1:11" x14ac:dyDescent="0.15">
      <c r="A235" s="51" t="s">
        <v>221</v>
      </c>
      <c r="B235" s="51" t="s">
        <v>1016</v>
      </c>
      <c r="C235" s="51" t="s">
        <v>1015</v>
      </c>
      <c r="F235" s="52">
        <v>26.3</v>
      </c>
      <c r="G235" s="51" t="s">
        <v>4159</v>
      </c>
      <c r="H235" s="52">
        <v>20.399999999999999</v>
      </c>
      <c r="I235" s="51" t="s">
        <v>4244</v>
      </c>
    </row>
    <row r="236" spans="1:11" x14ac:dyDescent="0.15">
      <c r="A236" s="51" t="s">
        <v>221</v>
      </c>
      <c r="B236" s="51" t="s">
        <v>1016</v>
      </c>
      <c r="C236" s="51" t="s">
        <v>1017</v>
      </c>
      <c r="F236" s="52">
        <v>49</v>
      </c>
      <c r="G236" s="51" t="s">
        <v>4248</v>
      </c>
      <c r="J236" s="52">
        <v>33.5</v>
      </c>
      <c r="K236" s="51" t="s">
        <v>4159</v>
      </c>
    </row>
    <row r="237" spans="1:11" x14ac:dyDescent="0.15">
      <c r="A237" s="51" t="s">
        <v>221</v>
      </c>
      <c r="B237" s="51" t="s">
        <v>1010</v>
      </c>
      <c r="C237" s="51" t="s">
        <v>1011</v>
      </c>
      <c r="F237" s="52">
        <v>30.3</v>
      </c>
      <c r="G237" s="51" t="s">
        <v>4159</v>
      </c>
    </row>
    <row r="238" spans="1:11" x14ac:dyDescent="0.15">
      <c r="A238" s="51" t="s">
        <v>221</v>
      </c>
      <c r="B238" s="51" t="s">
        <v>1010</v>
      </c>
      <c r="C238" s="51" t="s">
        <v>3773</v>
      </c>
    </row>
    <row r="239" spans="1:11" x14ac:dyDescent="0.15">
      <c r="A239" s="51" t="s">
        <v>221</v>
      </c>
      <c r="B239" s="51" t="s">
        <v>1010</v>
      </c>
      <c r="C239" s="51" t="s">
        <v>3850</v>
      </c>
    </row>
    <row r="240" spans="1:11" x14ac:dyDescent="0.15">
      <c r="A240" s="51" t="s">
        <v>221</v>
      </c>
      <c r="B240" s="51" t="s">
        <v>1010</v>
      </c>
      <c r="C240" s="51" t="s">
        <v>1013</v>
      </c>
      <c r="D240" s="52" t="s">
        <v>4249</v>
      </c>
      <c r="E240" s="51" t="s">
        <v>4250</v>
      </c>
      <c r="F240" s="52">
        <v>23.9</v>
      </c>
      <c r="G240" s="51" t="s">
        <v>4159</v>
      </c>
    </row>
    <row r="241" spans="1:11" x14ac:dyDescent="0.15">
      <c r="A241" s="51" t="s">
        <v>221</v>
      </c>
      <c r="B241" s="51" t="s">
        <v>1010</v>
      </c>
      <c r="C241" s="51" t="s">
        <v>1014</v>
      </c>
      <c r="D241" s="52">
        <v>15</v>
      </c>
      <c r="E241" s="51" t="s">
        <v>4223</v>
      </c>
      <c r="F241" s="52">
        <v>54.8</v>
      </c>
      <c r="G241" s="51" t="s">
        <v>4159</v>
      </c>
      <c r="J241" s="52">
        <v>53.25</v>
      </c>
      <c r="K241" s="51" t="s">
        <v>4181</v>
      </c>
    </row>
    <row r="242" spans="1:11" x14ac:dyDescent="0.15">
      <c r="A242" s="51" t="s">
        <v>221</v>
      </c>
      <c r="B242" s="51" t="s">
        <v>1010</v>
      </c>
      <c r="C242" s="51" t="s">
        <v>3955</v>
      </c>
    </row>
    <row r="243" spans="1:11" x14ac:dyDescent="0.15">
      <c r="A243" s="51" t="s">
        <v>270</v>
      </c>
      <c r="B243" s="51" t="s">
        <v>1073</v>
      </c>
      <c r="C243" s="51" t="s">
        <v>3774</v>
      </c>
      <c r="F243" s="52">
        <v>31</v>
      </c>
      <c r="G243" s="51" t="s">
        <v>4251</v>
      </c>
    </row>
    <row r="244" spans="1:11" x14ac:dyDescent="0.15">
      <c r="A244" s="51" t="s">
        <v>270</v>
      </c>
      <c r="B244" s="51" t="s">
        <v>1073</v>
      </c>
      <c r="C244" s="51" t="s">
        <v>3775</v>
      </c>
      <c r="F244" s="52">
        <v>16.899999999999999</v>
      </c>
      <c r="G244" s="51" t="s">
        <v>3975</v>
      </c>
    </row>
    <row r="245" spans="1:11" x14ac:dyDescent="0.15">
      <c r="A245" s="51" t="s">
        <v>270</v>
      </c>
      <c r="B245" s="51" t="s">
        <v>1073</v>
      </c>
      <c r="C245" s="51" t="s">
        <v>3776</v>
      </c>
    </row>
    <row r="246" spans="1:11" x14ac:dyDescent="0.15">
      <c r="A246" s="51" t="s">
        <v>270</v>
      </c>
      <c r="B246" s="51" t="s">
        <v>1073</v>
      </c>
      <c r="C246" s="51" t="s">
        <v>3777</v>
      </c>
    </row>
    <row r="247" spans="1:11" x14ac:dyDescent="0.15">
      <c r="A247" s="51" t="s">
        <v>270</v>
      </c>
      <c r="B247" s="51" t="s">
        <v>1073</v>
      </c>
      <c r="C247" s="51" t="s">
        <v>3778</v>
      </c>
    </row>
    <row r="248" spans="1:11" x14ac:dyDescent="0.15">
      <c r="A248" s="51" t="s">
        <v>270</v>
      </c>
      <c r="B248" s="51" t="s">
        <v>1073</v>
      </c>
      <c r="C248" s="51" t="s">
        <v>3695</v>
      </c>
      <c r="F248" s="52">
        <v>16.8</v>
      </c>
      <c r="G248" s="51" t="s">
        <v>4159</v>
      </c>
    </row>
    <row r="249" spans="1:11" x14ac:dyDescent="0.15">
      <c r="A249" s="51" t="s">
        <v>270</v>
      </c>
      <c r="B249" s="51" t="s">
        <v>1073</v>
      </c>
      <c r="C249" s="51" t="s">
        <v>3779</v>
      </c>
    </row>
    <row r="250" spans="1:11" x14ac:dyDescent="0.15">
      <c r="A250" s="51" t="s">
        <v>270</v>
      </c>
      <c r="B250" s="51" t="s">
        <v>1073</v>
      </c>
      <c r="C250" s="51" t="s">
        <v>3780</v>
      </c>
    </row>
    <row r="251" spans="1:11" x14ac:dyDescent="0.15">
      <c r="A251" s="51" t="s">
        <v>270</v>
      </c>
      <c r="B251" s="51" t="s">
        <v>1073</v>
      </c>
      <c r="C251" s="51" t="s">
        <v>1074</v>
      </c>
      <c r="F251" s="52">
        <v>20.100000000000001</v>
      </c>
      <c r="G251" s="51" t="s">
        <v>4159</v>
      </c>
      <c r="J251" s="52">
        <v>16.899999999999999</v>
      </c>
      <c r="K251" s="51" t="s">
        <v>4193</v>
      </c>
    </row>
    <row r="252" spans="1:11" x14ac:dyDescent="0.15">
      <c r="A252" s="51" t="s">
        <v>270</v>
      </c>
      <c r="B252" s="51" t="s">
        <v>1073</v>
      </c>
      <c r="C252" s="51" t="s">
        <v>3781</v>
      </c>
    </row>
    <row r="253" spans="1:11" x14ac:dyDescent="0.15">
      <c r="A253" s="51" t="s">
        <v>270</v>
      </c>
      <c r="B253" s="51" t="s">
        <v>1076</v>
      </c>
      <c r="C253" s="51" t="s">
        <v>3782</v>
      </c>
      <c r="F253" s="52">
        <v>9.6999999999999993</v>
      </c>
      <c r="G253" s="51" t="s">
        <v>4252</v>
      </c>
    </row>
    <row r="254" spans="1:11" x14ac:dyDescent="0.15">
      <c r="A254" s="51" t="s">
        <v>270</v>
      </c>
      <c r="B254" s="51" t="s">
        <v>1076</v>
      </c>
      <c r="C254" s="51" t="s">
        <v>3783</v>
      </c>
      <c r="J254" s="51" t="s">
        <v>4161</v>
      </c>
      <c r="K254" s="51" t="s">
        <v>4161</v>
      </c>
    </row>
    <row r="255" spans="1:11" x14ac:dyDescent="0.15">
      <c r="A255" s="51" t="s">
        <v>270</v>
      </c>
      <c r="B255" s="51" t="s">
        <v>1076</v>
      </c>
      <c r="C255" s="51" t="s">
        <v>3784</v>
      </c>
    </row>
    <row r="256" spans="1:11" x14ac:dyDescent="0.15">
      <c r="A256" s="51" t="s">
        <v>270</v>
      </c>
      <c r="B256" s="51" t="s">
        <v>1076</v>
      </c>
      <c r="C256" s="51" t="s">
        <v>1011</v>
      </c>
    </row>
    <row r="257" spans="1:11" x14ac:dyDescent="0.15">
      <c r="A257" s="51" t="s">
        <v>270</v>
      </c>
      <c r="B257" s="51" t="s">
        <v>1076</v>
      </c>
      <c r="C257" s="51" t="s">
        <v>3785</v>
      </c>
      <c r="F257" s="52">
        <v>40.700000000000003</v>
      </c>
      <c r="G257" s="51" t="s">
        <v>4253</v>
      </c>
    </row>
    <row r="258" spans="1:11" x14ac:dyDescent="0.15">
      <c r="A258" s="51" t="s">
        <v>270</v>
      </c>
      <c r="B258" s="51" t="s">
        <v>1076</v>
      </c>
      <c r="C258" s="51" t="s">
        <v>3514</v>
      </c>
    </row>
    <row r="259" spans="1:11" x14ac:dyDescent="0.15">
      <c r="A259" s="51" t="s">
        <v>270</v>
      </c>
      <c r="B259" s="51" t="s">
        <v>1076</v>
      </c>
      <c r="C259" s="51" t="s">
        <v>3786</v>
      </c>
    </row>
    <row r="260" spans="1:11" x14ac:dyDescent="0.15">
      <c r="A260" s="51" t="s">
        <v>270</v>
      </c>
      <c r="B260" s="51" t="s">
        <v>1076</v>
      </c>
      <c r="C260" s="51" t="s">
        <v>3787</v>
      </c>
    </row>
    <row r="261" spans="1:11" x14ac:dyDescent="0.15">
      <c r="A261" s="51" t="s">
        <v>270</v>
      </c>
      <c r="B261" s="51" t="s">
        <v>1076</v>
      </c>
      <c r="C261" s="51" t="s">
        <v>3788</v>
      </c>
      <c r="F261" s="52">
        <v>15.5</v>
      </c>
      <c r="G261" s="51" t="s">
        <v>4159</v>
      </c>
    </row>
    <row r="262" spans="1:11" x14ac:dyDescent="0.15">
      <c r="A262" s="51" t="s">
        <v>270</v>
      </c>
      <c r="B262" s="51" t="s">
        <v>1076</v>
      </c>
      <c r="C262" s="51" t="s">
        <v>3789</v>
      </c>
    </row>
    <row r="263" spans="1:11" x14ac:dyDescent="0.15">
      <c r="A263" s="51" t="s">
        <v>270</v>
      </c>
      <c r="B263" s="51" t="s">
        <v>1076</v>
      </c>
      <c r="C263" s="51" t="s">
        <v>3790</v>
      </c>
      <c r="J263" s="51" t="s">
        <v>4161</v>
      </c>
      <c r="K263" s="51" t="s">
        <v>4161</v>
      </c>
    </row>
    <row r="264" spans="1:11" x14ac:dyDescent="0.15">
      <c r="A264" s="51" t="s">
        <v>270</v>
      </c>
      <c r="B264" s="51" t="s">
        <v>1076</v>
      </c>
      <c r="C264" s="51" t="s">
        <v>3791</v>
      </c>
      <c r="F264" s="52">
        <v>14.7</v>
      </c>
      <c r="G264" s="51" t="s">
        <v>4193</v>
      </c>
    </row>
    <row r="265" spans="1:11" x14ac:dyDescent="0.15">
      <c r="A265" s="51" t="s">
        <v>270</v>
      </c>
      <c r="B265" s="51" t="s">
        <v>1076</v>
      </c>
      <c r="C265" s="51" t="s">
        <v>3792</v>
      </c>
    </row>
    <row r="266" spans="1:11" x14ac:dyDescent="0.15">
      <c r="A266" s="51" t="s">
        <v>270</v>
      </c>
      <c r="B266" s="51" t="s">
        <v>1076</v>
      </c>
      <c r="C266" s="51" t="s">
        <v>1075</v>
      </c>
      <c r="F266" s="52">
        <v>14.6</v>
      </c>
      <c r="G266" s="51" t="s">
        <v>4159</v>
      </c>
      <c r="J266" s="52">
        <v>12.1</v>
      </c>
      <c r="K266" s="51" t="s">
        <v>4193</v>
      </c>
    </row>
    <row r="267" spans="1:11" x14ac:dyDescent="0.15">
      <c r="A267" s="51" t="s">
        <v>270</v>
      </c>
      <c r="B267" s="51" t="s">
        <v>1076</v>
      </c>
      <c r="C267" s="51" t="s">
        <v>1077</v>
      </c>
      <c r="F267" s="52">
        <v>47</v>
      </c>
      <c r="G267" s="51" t="s">
        <v>4159</v>
      </c>
    </row>
    <row r="268" spans="1:11" x14ac:dyDescent="0.15">
      <c r="A268" s="51" t="s">
        <v>270</v>
      </c>
      <c r="B268" s="51" t="s">
        <v>1076</v>
      </c>
      <c r="C268" s="51" t="s">
        <v>3793</v>
      </c>
      <c r="J268" s="51" t="s">
        <v>4161</v>
      </c>
      <c r="K268" s="51" t="s">
        <v>4161</v>
      </c>
    </row>
    <row r="269" spans="1:11" x14ac:dyDescent="0.15">
      <c r="A269" s="51" t="s">
        <v>270</v>
      </c>
      <c r="B269" s="51" t="s">
        <v>1076</v>
      </c>
      <c r="C269" s="51" t="s">
        <v>3473</v>
      </c>
      <c r="J269" s="51" t="s">
        <v>4161</v>
      </c>
      <c r="K269" s="51" t="s">
        <v>4161</v>
      </c>
    </row>
    <row r="270" spans="1:11" x14ac:dyDescent="0.15">
      <c r="A270" s="51" t="s">
        <v>274</v>
      </c>
      <c r="B270" s="51" t="s">
        <v>3515</v>
      </c>
      <c r="C270" s="51" t="s">
        <v>3794</v>
      </c>
      <c r="F270" s="52">
        <v>27</v>
      </c>
      <c r="G270" s="51" t="s">
        <v>4159</v>
      </c>
    </row>
    <row r="271" spans="1:11" x14ac:dyDescent="0.15">
      <c r="A271" s="51" t="s">
        <v>277</v>
      </c>
      <c r="B271" s="51" t="s">
        <v>3516</v>
      </c>
      <c r="C271" s="51" t="s">
        <v>3795</v>
      </c>
      <c r="J271" s="51" t="s">
        <v>4161</v>
      </c>
      <c r="K271" s="51" t="s">
        <v>4161</v>
      </c>
    </row>
    <row r="272" spans="1:11" x14ac:dyDescent="0.15">
      <c r="A272" s="51" t="s">
        <v>277</v>
      </c>
      <c r="B272" s="51" t="s">
        <v>1078</v>
      </c>
      <c r="C272" s="51" t="s">
        <v>1079</v>
      </c>
      <c r="J272" s="51" t="s">
        <v>4161</v>
      </c>
      <c r="K272" s="51" t="s">
        <v>4161</v>
      </c>
    </row>
    <row r="273" spans="1:17" x14ac:dyDescent="0.15">
      <c r="A273" s="51" t="s">
        <v>277</v>
      </c>
      <c r="B273" s="51" t="s">
        <v>1080</v>
      </c>
      <c r="C273" s="51" t="s">
        <v>3796</v>
      </c>
      <c r="F273" s="52">
        <v>20</v>
      </c>
      <c r="G273" s="51" t="s">
        <v>4159</v>
      </c>
      <c r="J273" s="52">
        <v>18</v>
      </c>
      <c r="K273" s="51" t="s">
        <v>4160</v>
      </c>
    </row>
    <row r="274" spans="1:17" x14ac:dyDescent="0.15">
      <c r="A274" s="51" t="s">
        <v>277</v>
      </c>
      <c r="B274" s="51" t="s">
        <v>1080</v>
      </c>
      <c r="C274" s="51" t="s">
        <v>1053</v>
      </c>
      <c r="F274" s="52">
        <v>63</v>
      </c>
      <c r="G274" s="51" t="s">
        <v>4254</v>
      </c>
      <c r="H274" s="52">
        <v>20</v>
      </c>
      <c r="I274" s="51" t="s">
        <v>4255</v>
      </c>
      <c r="J274" s="52">
        <v>33.1</v>
      </c>
      <c r="K274" s="51" t="s">
        <v>4159</v>
      </c>
    </row>
    <row r="275" spans="1:17" x14ac:dyDescent="0.15">
      <c r="A275" s="51" t="s">
        <v>277</v>
      </c>
      <c r="B275" s="51" t="s">
        <v>1080</v>
      </c>
      <c r="C275" s="51" t="s">
        <v>3797</v>
      </c>
      <c r="J275" s="51" t="s">
        <v>4161</v>
      </c>
      <c r="K275" s="51" t="s">
        <v>4161</v>
      </c>
    </row>
    <row r="276" spans="1:17" x14ac:dyDescent="0.15">
      <c r="A276" s="51" t="s">
        <v>277</v>
      </c>
      <c r="B276" s="51" t="s">
        <v>1080</v>
      </c>
      <c r="C276" s="51" t="s">
        <v>1927</v>
      </c>
      <c r="F276" s="52">
        <v>14.1</v>
      </c>
      <c r="G276" s="51" t="s">
        <v>4159</v>
      </c>
    </row>
    <row r="277" spans="1:17" x14ac:dyDescent="0.15">
      <c r="A277" s="51" t="s">
        <v>277</v>
      </c>
      <c r="B277" s="51" t="s">
        <v>1080</v>
      </c>
      <c r="C277" s="51" t="s">
        <v>3798</v>
      </c>
      <c r="F277" s="52">
        <v>23.4</v>
      </c>
      <c r="G277" s="51" t="s">
        <v>4159</v>
      </c>
    </row>
    <row r="278" spans="1:17" x14ac:dyDescent="0.15">
      <c r="A278" s="51" t="s">
        <v>277</v>
      </c>
      <c r="B278" s="51" t="s">
        <v>1080</v>
      </c>
      <c r="C278" s="51" t="s">
        <v>1081</v>
      </c>
      <c r="J278" s="51" t="s">
        <v>4161</v>
      </c>
      <c r="K278" s="51" t="s">
        <v>4161</v>
      </c>
    </row>
    <row r="279" spans="1:17" x14ac:dyDescent="0.15">
      <c r="A279" s="51" t="s">
        <v>299</v>
      </c>
      <c r="B279" s="51" t="s">
        <v>3517</v>
      </c>
      <c r="C279" s="51" t="s">
        <v>3799</v>
      </c>
      <c r="F279" s="52">
        <v>190</v>
      </c>
      <c r="G279" s="51" t="s">
        <v>4256</v>
      </c>
      <c r="J279" s="52">
        <v>182</v>
      </c>
      <c r="K279" s="51" t="s">
        <v>4257</v>
      </c>
      <c r="Q279" s="51" t="s">
        <v>3982</v>
      </c>
    </row>
    <row r="280" spans="1:17" x14ac:dyDescent="0.15">
      <c r="A280" s="51" t="s">
        <v>299</v>
      </c>
      <c r="B280" s="51" t="s">
        <v>3518</v>
      </c>
      <c r="C280" s="51" t="s">
        <v>3800</v>
      </c>
      <c r="F280" s="52">
        <v>146</v>
      </c>
      <c r="G280" s="51" t="s">
        <v>4258</v>
      </c>
      <c r="J280" s="52">
        <v>137</v>
      </c>
      <c r="K280" s="51" t="s">
        <v>4259</v>
      </c>
    </row>
    <row r="281" spans="1:17" x14ac:dyDescent="0.15">
      <c r="A281" s="51" t="s">
        <v>299</v>
      </c>
      <c r="B281" s="51" t="s">
        <v>3518</v>
      </c>
      <c r="C281" s="51" t="s">
        <v>3801</v>
      </c>
      <c r="F281" s="52"/>
      <c r="G281" s="51" t="s">
        <v>3983</v>
      </c>
    </row>
    <row r="282" spans="1:17" x14ac:dyDescent="0.15">
      <c r="A282" s="51" t="s">
        <v>299</v>
      </c>
      <c r="B282" s="51" t="s">
        <v>1018</v>
      </c>
      <c r="C282" s="51" t="s">
        <v>1019</v>
      </c>
      <c r="F282" s="52">
        <v>54.3</v>
      </c>
      <c r="G282" s="51" t="s">
        <v>4193</v>
      </c>
    </row>
    <row r="283" spans="1:17" x14ac:dyDescent="0.15">
      <c r="A283" s="51" t="s">
        <v>299</v>
      </c>
      <c r="B283" s="51" t="s">
        <v>1020</v>
      </c>
      <c r="C283" s="51" t="s">
        <v>3984</v>
      </c>
      <c r="F283" s="52">
        <v>49</v>
      </c>
      <c r="G283" s="51" t="s">
        <v>4159</v>
      </c>
    </row>
    <row r="284" spans="1:17" x14ac:dyDescent="0.15">
      <c r="A284" s="51" t="s">
        <v>299</v>
      </c>
      <c r="B284" s="51" t="s">
        <v>1020</v>
      </c>
      <c r="C284" s="51" t="s">
        <v>3802</v>
      </c>
      <c r="F284" s="52">
        <v>19.8</v>
      </c>
      <c r="G284" s="51" t="s">
        <v>4159</v>
      </c>
    </row>
    <row r="285" spans="1:17" x14ac:dyDescent="0.15">
      <c r="A285" s="51" t="s">
        <v>299</v>
      </c>
      <c r="B285" s="51" t="s">
        <v>1020</v>
      </c>
      <c r="C285" s="51" t="s">
        <v>3985</v>
      </c>
      <c r="F285" s="52">
        <v>35.200000000000003</v>
      </c>
      <c r="G285" s="51" t="s">
        <v>4159</v>
      </c>
      <c r="J285" s="52">
        <v>35</v>
      </c>
      <c r="K285" s="51" t="s">
        <v>3975</v>
      </c>
    </row>
    <row r="286" spans="1:17" x14ac:dyDescent="0.15">
      <c r="A286" s="51" t="s">
        <v>299</v>
      </c>
      <c r="B286" s="51" t="s">
        <v>1020</v>
      </c>
      <c r="C286" s="51" t="s">
        <v>4260</v>
      </c>
    </row>
    <row r="287" spans="1:17" x14ac:dyDescent="0.15">
      <c r="A287" s="51" t="s">
        <v>299</v>
      </c>
      <c r="B287" s="51" t="s">
        <v>1020</v>
      </c>
      <c r="C287" s="51" t="s">
        <v>4261</v>
      </c>
    </row>
    <row r="288" spans="1:17" x14ac:dyDescent="0.15">
      <c r="A288" s="51" t="s">
        <v>299</v>
      </c>
      <c r="B288" s="51" t="s">
        <v>1020</v>
      </c>
      <c r="C288" s="51" t="s">
        <v>4262</v>
      </c>
    </row>
    <row r="289" spans="1:11" x14ac:dyDescent="0.15">
      <c r="A289" s="51" t="s">
        <v>299</v>
      </c>
      <c r="B289" s="51" t="s">
        <v>1020</v>
      </c>
      <c r="C289" s="51" t="s">
        <v>4263</v>
      </c>
      <c r="F289" s="52">
        <v>51.7</v>
      </c>
      <c r="G289" s="51" t="s">
        <v>4159</v>
      </c>
      <c r="J289" s="52">
        <v>85</v>
      </c>
      <c r="K289" s="51" t="s">
        <v>3975</v>
      </c>
    </row>
    <row r="290" spans="1:11" x14ac:dyDescent="0.15">
      <c r="A290" s="51" t="s">
        <v>299</v>
      </c>
      <c r="B290" s="51" t="s">
        <v>1020</v>
      </c>
      <c r="C290" s="51" t="s">
        <v>4264</v>
      </c>
    </row>
    <row r="291" spans="1:11" x14ac:dyDescent="0.15">
      <c r="A291" s="51" t="s">
        <v>299</v>
      </c>
      <c r="B291" s="51" t="s">
        <v>1020</v>
      </c>
      <c r="C291" s="51" t="s">
        <v>4265</v>
      </c>
      <c r="F291" s="52">
        <v>55</v>
      </c>
      <c r="G291" s="51" t="s">
        <v>4266</v>
      </c>
      <c r="J291" s="52">
        <v>18.399999999999999</v>
      </c>
      <c r="K291" s="51" t="s">
        <v>3975</v>
      </c>
    </row>
    <row r="292" spans="1:11" x14ac:dyDescent="0.15">
      <c r="A292" s="51" t="s">
        <v>299</v>
      </c>
      <c r="B292" s="51" t="s">
        <v>1020</v>
      </c>
      <c r="C292" s="51" t="s">
        <v>4267</v>
      </c>
      <c r="F292" s="52">
        <v>61.5</v>
      </c>
      <c r="G292" s="51" t="s">
        <v>4159</v>
      </c>
    </row>
    <row r="293" spans="1:11" x14ac:dyDescent="0.15">
      <c r="A293" s="51" t="s">
        <v>299</v>
      </c>
      <c r="B293" s="51" t="s">
        <v>1020</v>
      </c>
      <c r="C293" s="51" t="s">
        <v>4268</v>
      </c>
      <c r="D293" s="52">
        <v>32</v>
      </c>
      <c r="E293" s="51" t="s">
        <v>4269</v>
      </c>
    </row>
    <row r="294" spans="1:11" x14ac:dyDescent="0.15">
      <c r="A294" s="51" t="s">
        <v>299</v>
      </c>
      <c r="B294" s="51" t="s">
        <v>1020</v>
      </c>
      <c r="C294" s="51" t="s">
        <v>4270</v>
      </c>
      <c r="F294" s="52">
        <v>16.600000000000001</v>
      </c>
      <c r="G294" s="51" t="s">
        <v>3975</v>
      </c>
    </row>
    <row r="295" spans="1:11" x14ac:dyDescent="0.15">
      <c r="A295" s="51" t="s">
        <v>299</v>
      </c>
      <c r="B295" s="51" t="s">
        <v>1020</v>
      </c>
      <c r="C295" s="51" t="s">
        <v>4271</v>
      </c>
      <c r="F295" s="52">
        <v>100</v>
      </c>
      <c r="G295" s="51" t="s">
        <v>3975</v>
      </c>
      <c r="J295" s="52">
        <v>69.599999999999994</v>
      </c>
      <c r="K295" s="51" t="s">
        <v>4272</v>
      </c>
    </row>
    <row r="296" spans="1:11" x14ac:dyDescent="0.15">
      <c r="A296" s="51" t="s">
        <v>299</v>
      </c>
      <c r="B296" s="51" t="s">
        <v>1020</v>
      </c>
      <c r="C296" s="51" t="s">
        <v>4273</v>
      </c>
    </row>
    <row r="297" spans="1:11" x14ac:dyDescent="0.15">
      <c r="A297" s="51" t="s">
        <v>299</v>
      </c>
      <c r="B297" s="51" t="s">
        <v>1020</v>
      </c>
      <c r="C297" s="51" t="s">
        <v>4274</v>
      </c>
      <c r="F297" s="52">
        <v>175</v>
      </c>
      <c r="G297" s="51" t="s">
        <v>4275</v>
      </c>
      <c r="J297" s="52">
        <v>65.7</v>
      </c>
      <c r="K297" s="51" t="s">
        <v>4159</v>
      </c>
    </row>
    <row r="298" spans="1:11" x14ac:dyDescent="0.15">
      <c r="A298" s="51" t="s">
        <v>299</v>
      </c>
      <c r="B298" s="51" t="s">
        <v>1020</v>
      </c>
      <c r="C298" s="51" t="s">
        <v>4276</v>
      </c>
    </row>
    <row r="299" spans="1:11" x14ac:dyDescent="0.15">
      <c r="A299" s="51" t="s">
        <v>299</v>
      </c>
      <c r="B299" s="51" t="s">
        <v>1020</v>
      </c>
      <c r="C299" s="51" t="s">
        <v>4277</v>
      </c>
      <c r="F299" s="52">
        <v>62.1</v>
      </c>
      <c r="G299" s="51" t="s">
        <v>4159</v>
      </c>
    </row>
    <row r="300" spans="1:11" x14ac:dyDescent="0.15">
      <c r="A300" s="51" t="s">
        <v>299</v>
      </c>
      <c r="B300" s="51" t="s">
        <v>3519</v>
      </c>
      <c r="C300" s="51" t="s">
        <v>3803</v>
      </c>
      <c r="F300" s="52">
        <v>11.75</v>
      </c>
      <c r="G300" s="51" t="s">
        <v>3975</v>
      </c>
      <c r="J300" s="52">
        <v>6.9</v>
      </c>
      <c r="K300" s="51" t="s">
        <v>4159</v>
      </c>
    </row>
    <row r="301" spans="1:11" x14ac:dyDescent="0.15">
      <c r="A301" s="51" t="s">
        <v>299</v>
      </c>
      <c r="B301" s="51" t="s">
        <v>1028</v>
      </c>
      <c r="C301" s="51" t="s">
        <v>3804</v>
      </c>
      <c r="J301" s="51" t="s">
        <v>4161</v>
      </c>
      <c r="K301" s="51" t="s">
        <v>4161</v>
      </c>
    </row>
    <row r="302" spans="1:11" x14ac:dyDescent="0.15">
      <c r="A302" s="51" t="s">
        <v>299</v>
      </c>
      <c r="B302" s="51" t="s">
        <v>1028</v>
      </c>
      <c r="C302" s="51" t="s">
        <v>1029</v>
      </c>
      <c r="J302" s="51" t="s">
        <v>4161</v>
      </c>
      <c r="K302" s="51" t="s">
        <v>4161</v>
      </c>
    </row>
    <row r="303" spans="1:11" x14ac:dyDescent="0.15">
      <c r="A303" s="51" t="s">
        <v>299</v>
      </c>
      <c r="B303" s="51" t="s">
        <v>1028</v>
      </c>
      <c r="C303" s="51" t="s">
        <v>1030</v>
      </c>
    </row>
    <row r="304" spans="1:11" x14ac:dyDescent="0.15">
      <c r="A304" s="51" t="s">
        <v>299</v>
      </c>
      <c r="B304" s="51" t="s">
        <v>1022</v>
      </c>
      <c r="C304" s="51" t="s">
        <v>1021</v>
      </c>
      <c r="F304" s="52">
        <v>35</v>
      </c>
      <c r="G304" s="51" t="s">
        <v>4278</v>
      </c>
      <c r="H304" s="54">
        <v>55</v>
      </c>
      <c r="I304" s="51" t="s">
        <v>3986</v>
      </c>
      <c r="J304" s="52">
        <v>24.3</v>
      </c>
      <c r="K304" s="51" t="s">
        <v>4159</v>
      </c>
    </row>
    <row r="305" spans="1:11" x14ac:dyDescent="0.15">
      <c r="A305" s="51" t="s">
        <v>299</v>
      </c>
      <c r="B305" s="51" t="s">
        <v>1022</v>
      </c>
      <c r="C305" s="51" t="s">
        <v>3752</v>
      </c>
      <c r="F305" s="52">
        <v>30</v>
      </c>
      <c r="G305" s="51" t="s">
        <v>4279</v>
      </c>
    </row>
    <row r="306" spans="1:11" x14ac:dyDescent="0.15">
      <c r="A306" s="51" t="s">
        <v>299</v>
      </c>
      <c r="B306" s="51" t="s">
        <v>1025</v>
      </c>
      <c r="C306" s="51" t="s">
        <v>1026</v>
      </c>
      <c r="D306" s="52">
        <v>56</v>
      </c>
      <c r="E306" s="51" t="s">
        <v>4280</v>
      </c>
      <c r="F306" s="52">
        <v>62.8</v>
      </c>
      <c r="G306" s="51" t="s">
        <v>4159</v>
      </c>
      <c r="J306" s="52">
        <v>47</v>
      </c>
      <c r="K306" s="51" t="s">
        <v>4281</v>
      </c>
    </row>
    <row r="307" spans="1:11" x14ac:dyDescent="0.15">
      <c r="A307" s="51" t="s">
        <v>299</v>
      </c>
      <c r="B307" s="51" t="s">
        <v>1025</v>
      </c>
      <c r="C307" s="51" t="s">
        <v>3805</v>
      </c>
      <c r="F307" s="52">
        <v>58</v>
      </c>
      <c r="G307" s="51" t="s">
        <v>4282</v>
      </c>
      <c r="J307" s="52">
        <v>52</v>
      </c>
      <c r="K307" s="51" t="s">
        <v>4283</v>
      </c>
    </row>
    <row r="308" spans="1:11" x14ac:dyDescent="0.15">
      <c r="A308" s="51" t="s">
        <v>299</v>
      </c>
      <c r="B308" s="51" t="s">
        <v>1025</v>
      </c>
      <c r="C308" s="51" t="s">
        <v>3806</v>
      </c>
      <c r="D308" s="52">
        <v>43</v>
      </c>
      <c r="E308" s="51" t="s">
        <v>4284</v>
      </c>
    </row>
    <row r="309" spans="1:11" x14ac:dyDescent="0.15">
      <c r="A309" s="51" t="s">
        <v>299</v>
      </c>
      <c r="B309" s="51" t="s">
        <v>1025</v>
      </c>
      <c r="C309" s="51" t="s">
        <v>3807</v>
      </c>
      <c r="F309" s="52">
        <v>15.8</v>
      </c>
      <c r="G309" s="51" t="s">
        <v>4159</v>
      </c>
    </row>
    <row r="310" spans="1:11" x14ac:dyDescent="0.15">
      <c r="A310" s="51" t="s">
        <v>299</v>
      </c>
      <c r="B310" s="51" t="s">
        <v>1025</v>
      </c>
      <c r="C310" s="51" t="s">
        <v>3808</v>
      </c>
      <c r="D310" s="52">
        <v>54</v>
      </c>
      <c r="E310" s="51" t="s">
        <v>4284</v>
      </c>
    </row>
    <row r="311" spans="1:11" x14ac:dyDescent="0.15">
      <c r="A311" s="51" t="s">
        <v>299</v>
      </c>
      <c r="B311" s="51" t="s">
        <v>1025</v>
      </c>
      <c r="C311" s="51" t="s">
        <v>1027</v>
      </c>
      <c r="F311" s="52">
        <v>81</v>
      </c>
      <c r="G311" s="51" t="s">
        <v>4285</v>
      </c>
      <c r="J311" s="52">
        <v>45</v>
      </c>
      <c r="K311" s="51" t="s">
        <v>4286</v>
      </c>
    </row>
    <row r="312" spans="1:11" x14ac:dyDescent="0.15">
      <c r="A312" s="51" t="s">
        <v>299</v>
      </c>
      <c r="B312" s="51" t="s">
        <v>1031</v>
      </c>
      <c r="C312" s="51" t="s">
        <v>3809</v>
      </c>
      <c r="F312" s="52">
        <v>28.6</v>
      </c>
      <c r="G312" s="51" t="s">
        <v>4253</v>
      </c>
    </row>
    <row r="313" spans="1:11" x14ac:dyDescent="0.15">
      <c r="A313" s="51" t="s">
        <v>299</v>
      </c>
      <c r="B313" s="51" t="s">
        <v>1031</v>
      </c>
      <c r="C313" s="51" t="s">
        <v>1032</v>
      </c>
      <c r="J313" s="51" t="s">
        <v>4161</v>
      </c>
      <c r="K313" s="51" t="s">
        <v>4161</v>
      </c>
    </row>
    <row r="314" spans="1:11" x14ac:dyDescent="0.15">
      <c r="A314" s="51" t="s">
        <v>299</v>
      </c>
      <c r="B314" s="51" t="s">
        <v>3520</v>
      </c>
      <c r="C314" s="51" t="s">
        <v>3810</v>
      </c>
      <c r="F314" s="52">
        <v>52</v>
      </c>
      <c r="G314" s="51" t="s">
        <v>1619</v>
      </c>
      <c r="J314" s="52">
        <v>14.1</v>
      </c>
      <c r="K314" s="51" t="s">
        <v>4159</v>
      </c>
    </row>
    <row r="315" spans="1:11" x14ac:dyDescent="0.15">
      <c r="A315" s="51" t="s">
        <v>299</v>
      </c>
      <c r="B315" s="51" t="s">
        <v>3520</v>
      </c>
      <c r="C315" s="51" t="s">
        <v>3811</v>
      </c>
      <c r="F315" s="52">
        <v>32.9</v>
      </c>
      <c r="G315" s="51" t="s">
        <v>4159</v>
      </c>
    </row>
    <row r="316" spans="1:11" x14ac:dyDescent="0.15">
      <c r="A316" s="51" t="s">
        <v>299</v>
      </c>
      <c r="B316" s="51" t="s">
        <v>3520</v>
      </c>
      <c r="C316" s="51" t="s">
        <v>1035</v>
      </c>
    </row>
    <row r="317" spans="1:11" x14ac:dyDescent="0.15">
      <c r="A317" s="51" t="s">
        <v>299</v>
      </c>
      <c r="B317" s="51" t="s">
        <v>3521</v>
      </c>
      <c r="C317" s="51" t="s">
        <v>3812</v>
      </c>
      <c r="F317" s="52">
        <v>26.5</v>
      </c>
      <c r="G317" s="51" t="s">
        <v>4159</v>
      </c>
      <c r="J317" s="52">
        <v>22</v>
      </c>
      <c r="K317" s="51" t="s">
        <v>4193</v>
      </c>
    </row>
    <row r="318" spans="1:11" x14ac:dyDescent="0.15">
      <c r="A318" s="51" t="s">
        <v>299</v>
      </c>
      <c r="B318" s="51" t="s">
        <v>3521</v>
      </c>
      <c r="C318" s="51" t="s">
        <v>3813</v>
      </c>
      <c r="F318" s="52">
        <v>24.8</v>
      </c>
      <c r="G318" s="51" t="s">
        <v>4159</v>
      </c>
    </row>
    <row r="319" spans="1:11" x14ac:dyDescent="0.15">
      <c r="A319" s="51" t="s">
        <v>299</v>
      </c>
      <c r="B319" s="51" t="s">
        <v>3521</v>
      </c>
      <c r="C319" s="51" t="s">
        <v>3814</v>
      </c>
      <c r="F319" s="52">
        <v>4.5</v>
      </c>
      <c r="G319" s="51" t="s">
        <v>4159</v>
      </c>
      <c r="J319" s="51" t="s">
        <v>4161</v>
      </c>
      <c r="K319" s="51" t="s">
        <v>4161</v>
      </c>
    </row>
    <row r="320" spans="1:11" x14ac:dyDescent="0.15">
      <c r="A320" s="51" t="s">
        <v>299</v>
      </c>
      <c r="B320" s="51" t="s">
        <v>3521</v>
      </c>
      <c r="C320" s="51" t="s">
        <v>3815</v>
      </c>
    </row>
    <row r="321" spans="1:11" x14ac:dyDescent="0.15">
      <c r="A321" s="51" t="s">
        <v>299</v>
      </c>
      <c r="B321" s="51" t="s">
        <v>3521</v>
      </c>
      <c r="C321" s="51" t="s">
        <v>3816</v>
      </c>
      <c r="F321" s="52">
        <v>4.4000000000000004</v>
      </c>
      <c r="G321" s="51" t="s">
        <v>4193</v>
      </c>
    </row>
    <row r="322" spans="1:11" x14ac:dyDescent="0.15">
      <c r="A322" s="51" t="s">
        <v>299</v>
      </c>
      <c r="B322" s="51" t="s">
        <v>3521</v>
      </c>
      <c r="C322" s="51" t="s">
        <v>3817</v>
      </c>
      <c r="F322" s="52">
        <v>8.9</v>
      </c>
      <c r="G322" s="51" t="s">
        <v>4159</v>
      </c>
    </row>
    <row r="323" spans="1:11" x14ac:dyDescent="0.15">
      <c r="A323" s="51" t="s">
        <v>299</v>
      </c>
      <c r="B323" s="51" t="s">
        <v>3521</v>
      </c>
      <c r="C323" s="51" t="s">
        <v>3818</v>
      </c>
      <c r="J323" s="51" t="s">
        <v>4161</v>
      </c>
      <c r="K323" s="51" t="s">
        <v>4161</v>
      </c>
    </row>
    <row r="324" spans="1:11" x14ac:dyDescent="0.15">
      <c r="A324" s="51" t="s">
        <v>299</v>
      </c>
      <c r="B324" s="51" t="s">
        <v>3521</v>
      </c>
      <c r="C324" s="51" t="s">
        <v>3819</v>
      </c>
    </row>
    <row r="325" spans="1:11" x14ac:dyDescent="0.15">
      <c r="A325" s="51" t="s">
        <v>299</v>
      </c>
      <c r="B325" s="51" t="s">
        <v>1034</v>
      </c>
      <c r="C325" s="51" t="s">
        <v>1033</v>
      </c>
      <c r="D325" s="51">
        <v>25</v>
      </c>
      <c r="E325" s="51" t="s">
        <v>4287</v>
      </c>
      <c r="F325" s="52">
        <v>42</v>
      </c>
      <c r="G325" s="51" t="s">
        <v>4288</v>
      </c>
      <c r="J325" s="52">
        <v>25.9</v>
      </c>
      <c r="K325" s="51" t="s">
        <v>4159</v>
      </c>
    </row>
    <row r="326" spans="1:11" x14ac:dyDescent="0.15">
      <c r="A326" s="51" t="s">
        <v>299</v>
      </c>
      <c r="B326" s="51" t="s">
        <v>3523</v>
      </c>
      <c r="C326" s="51" t="s">
        <v>3820</v>
      </c>
      <c r="F326" s="52">
        <v>19.899999999999999</v>
      </c>
      <c r="G326" s="51" t="s">
        <v>4159</v>
      </c>
    </row>
    <row r="327" spans="1:11" x14ac:dyDescent="0.15">
      <c r="A327" s="51" t="s">
        <v>299</v>
      </c>
      <c r="B327" s="51" t="s">
        <v>3523</v>
      </c>
      <c r="C327" s="51" t="s">
        <v>3821</v>
      </c>
      <c r="J327" s="51" t="s">
        <v>4161</v>
      </c>
      <c r="K327" s="51" t="s">
        <v>4161</v>
      </c>
    </row>
    <row r="328" spans="1:11" x14ac:dyDescent="0.15">
      <c r="A328" s="51" t="s">
        <v>299</v>
      </c>
      <c r="B328" s="51" t="s">
        <v>1036</v>
      </c>
      <c r="C328" s="51" t="s">
        <v>1037</v>
      </c>
      <c r="F328" s="52">
        <v>30</v>
      </c>
      <c r="G328" s="51" t="s">
        <v>3987</v>
      </c>
    </row>
    <row r="329" spans="1:11" x14ac:dyDescent="0.15">
      <c r="A329" s="51" t="s">
        <v>299</v>
      </c>
      <c r="B329" s="51" t="s">
        <v>1036</v>
      </c>
      <c r="C329" s="51" t="s">
        <v>3822</v>
      </c>
      <c r="F329" s="52">
        <v>6.8</v>
      </c>
      <c r="G329" s="51" t="s">
        <v>4159</v>
      </c>
      <c r="J329" s="51" t="s">
        <v>4161</v>
      </c>
      <c r="K329" s="51" t="s">
        <v>4161</v>
      </c>
    </row>
    <row r="330" spans="1:11" x14ac:dyDescent="0.15">
      <c r="A330" s="51" t="s">
        <v>299</v>
      </c>
      <c r="B330" s="51" t="s">
        <v>1036</v>
      </c>
      <c r="C330" s="51" t="s">
        <v>3823</v>
      </c>
      <c r="D330" s="52">
        <v>42</v>
      </c>
      <c r="E330" s="51" t="s">
        <v>4289</v>
      </c>
      <c r="F330" s="52">
        <v>3.9</v>
      </c>
      <c r="G330" s="51" t="s">
        <v>4159</v>
      </c>
      <c r="J330" s="51" t="s">
        <v>4161</v>
      </c>
      <c r="K330" s="51" t="s">
        <v>4161</v>
      </c>
    </row>
    <row r="331" spans="1:11" x14ac:dyDescent="0.15">
      <c r="A331" s="51" t="s">
        <v>299</v>
      </c>
      <c r="B331" s="51" t="s">
        <v>1038</v>
      </c>
      <c r="C331" s="51" t="s">
        <v>3524</v>
      </c>
      <c r="J331" s="51" t="s">
        <v>4161</v>
      </c>
      <c r="K331" s="51" t="s">
        <v>4161</v>
      </c>
    </row>
    <row r="332" spans="1:11" x14ac:dyDescent="0.15">
      <c r="A332" s="51" t="s">
        <v>299</v>
      </c>
      <c r="B332" s="51" t="s">
        <v>1038</v>
      </c>
      <c r="C332" s="51" t="s">
        <v>1039</v>
      </c>
      <c r="J332" s="51" t="s">
        <v>4161</v>
      </c>
      <c r="K332" s="51" t="s">
        <v>4161</v>
      </c>
    </row>
    <row r="333" spans="1:11" x14ac:dyDescent="0.15">
      <c r="A333" s="51" t="s">
        <v>299</v>
      </c>
      <c r="B333" s="51" t="s">
        <v>1024</v>
      </c>
      <c r="C333" s="51" t="s">
        <v>1023</v>
      </c>
      <c r="F333" s="52">
        <v>30</v>
      </c>
      <c r="G333" s="51" t="s">
        <v>4193</v>
      </c>
    </row>
    <row r="334" spans="1:11" x14ac:dyDescent="0.15">
      <c r="A334" s="51" t="s">
        <v>299</v>
      </c>
      <c r="B334" s="51" t="s">
        <v>1040</v>
      </c>
      <c r="C334" s="51" t="s">
        <v>3824</v>
      </c>
      <c r="F334" s="52">
        <v>148</v>
      </c>
      <c r="G334" s="51" t="s">
        <v>4290</v>
      </c>
      <c r="J334" s="52">
        <v>127</v>
      </c>
      <c r="K334" s="51" t="s">
        <v>4166</v>
      </c>
    </row>
    <row r="335" spans="1:11" x14ac:dyDescent="0.15">
      <c r="A335" s="51" t="s">
        <v>299</v>
      </c>
      <c r="B335" s="51" t="s">
        <v>1040</v>
      </c>
      <c r="C335" s="51" t="s">
        <v>1042</v>
      </c>
      <c r="F335" s="52">
        <v>90</v>
      </c>
      <c r="G335" s="51" t="s">
        <v>3975</v>
      </c>
      <c r="J335" s="52">
        <v>85</v>
      </c>
      <c r="K335" s="51" t="s">
        <v>4291</v>
      </c>
    </row>
    <row r="336" spans="1:11" x14ac:dyDescent="0.15">
      <c r="A336" s="51" t="s">
        <v>299</v>
      </c>
      <c r="B336" s="51" t="s">
        <v>1040</v>
      </c>
      <c r="C336" s="51" t="s">
        <v>3825</v>
      </c>
      <c r="F336" s="52">
        <v>10.3</v>
      </c>
      <c r="G336" s="51" t="s">
        <v>4159</v>
      </c>
      <c r="J336" s="51" t="s">
        <v>4161</v>
      </c>
      <c r="K336" s="51" t="s">
        <v>4161</v>
      </c>
    </row>
    <row r="337" spans="1:11" x14ac:dyDescent="0.15">
      <c r="A337" s="51" t="s">
        <v>299</v>
      </c>
      <c r="B337" s="51" t="s">
        <v>1040</v>
      </c>
      <c r="C337" s="51" t="s">
        <v>3826</v>
      </c>
      <c r="F337" s="52">
        <v>21.1</v>
      </c>
      <c r="G337" s="51" t="s">
        <v>4193</v>
      </c>
    </row>
    <row r="338" spans="1:11" x14ac:dyDescent="0.15">
      <c r="A338" s="51" t="s">
        <v>299</v>
      </c>
      <c r="B338" s="51" t="s">
        <v>1040</v>
      </c>
      <c r="C338" s="51" t="s">
        <v>3827</v>
      </c>
      <c r="F338" s="52">
        <v>64</v>
      </c>
      <c r="G338" s="51" t="s">
        <v>4292</v>
      </c>
      <c r="J338" s="52">
        <v>21.2</v>
      </c>
      <c r="K338" s="51" t="s">
        <v>4159</v>
      </c>
    </row>
    <row r="339" spans="1:11" x14ac:dyDescent="0.15">
      <c r="A339" s="51" t="s">
        <v>350</v>
      </c>
      <c r="B339" s="51" t="s">
        <v>3530</v>
      </c>
      <c r="C339" s="51" t="s">
        <v>3828</v>
      </c>
      <c r="F339" s="52">
        <v>7.3</v>
      </c>
      <c r="G339" s="51" t="s">
        <v>4159</v>
      </c>
    </row>
    <row r="340" spans="1:11" x14ac:dyDescent="0.15">
      <c r="A340" s="51" t="s">
        <v>350</v>
      </c>
      <c r="B340" s="51" t="s">
        <v>3530</v>
      </c>
      <c r="C340" s="51" t="s">
        <v>997</v>
      </c>
    </row>
    <row r="341" spans="1:11" x14ac:dyDescent="0.15">
      <c r="A341" s="51" t="s">
        <v>350</v>
      </c>
      <c r="B341" s="51" t="s">
        <v>1046</v>
      </c>
      <c r="C341" s="51" t="s">
        <v>1045</v>
      </c>
      <c r="F341" s="52">
        <v>36.700000000000003</v>
      </c>
      <c r="G341" s="51" t="s">
        <v>4166</v>
      </c>
      <c r="J341" s="52">
        <v>26.2</v>
      </c>
      <c r="K341" s="51" t="s">
        <v>4160</v>
      </c>
    </row>
    <row r="342" spans="1:11" x14ac:dyDescent="0.15">
      <c r="A342" s="51" t="s">
        <v>350</v>
      </c>
      <c r="B342" s="51" t="s">
        <v>1046</v>
      </c>
      <c r="C342" s="51" t="s">
        <v>948</v>
      </c>
      <c r="F342" s="52">
        <v>11</v>
      </c>
      <c r="G342" s="51" t="s">
        <v>1395</v>
      </c>
      <c r="J342" s="51" t="s">
        <v>4161</v>
      </c>
      <c r="K342" s="51" t="s">
        <v>4161</v>
      </c>
    </row>
    <row r="343" spans="1:11" x14ac:dyDescent="0.15">
      <c r="A343" s="51" t="s">
        <v>350</v>
      </c>
      <c r="B343" s="51" t="s">
        <v>1046</v>
      </c>
      <c r="C343" s="51" t="s">
        <v>1049</v>
      </c>
      <c r="F343" s="52">
        <v>25.2</v>
      </c>
      <c r="G343" s="51" t="s">
        <v>4202</v>
      </c>
    </row>
    <row r="344" spans="1:11" x14ac:dyDescent="0.15">
      <c r="A344" s="51" t="s">
        <v>350</v>
      </c>
      <c r="B344" s="51" t="s">
        <v>3531</v>
      </c>
      <c r="C344" s="51" t="s">
        <v>4042</v>
      </c>
    </row>
    <row r="345" spans="1:11" x14ac:dyDescent="0.15">
      <c r="A345" s="51" t="s">
        <v>350</v>
      </c>
      <c r="B345" s="51" t="s">
        <v>3531</v>
      </c>
      <c r="C345" s="51" t="s">
        <v>3829</v>
      </c>
      <c r="J345" s="51" t="s">
        <v>4161</v>
      </c>
      <c r="K345" s="51" t="s">
        <v>4161</v>
      </c>
    </row>
    <row r="346" spans="1:11" x14ac:dyDescent="0.15">
      <c r="A346" s="51" t="s">
        <v>350</v>
      </c>
      <c r="B346" s="51" t="s">
        <v>3531</v>
      </c>
      <c r="C346" s="51" t="s">
        <v>4293</v>
      </c>
    </row>
    <row r="347" spans="1:11" x14ac:dyDescent="0.15">
      <c r="A347" s="51" t="s">
        <v>350</v>
      </c>
      <c r="B347" s="51" t="s">
        <v>3532</v>
      </c>
      <c r="C347" s="51" t="s">
        <v>1021</v>
      </c>
    </row>
    <row r="348" spans="1:11" x14ac:dyDescent="0.15">
      <c r="A348" s="51" t="s">
        <v>350</v>
      </c>
      <c r="B348" s="51" t="s">
        <v>3532</v>
      </c>
      <c r="C348" s="51" t="s">
        <v>3830</v>
      </c>
      <c r="F348" s="52">
        <v>10</v>
      </c>
      <c r="G348" s="51" t="s">
        <v>4193</v>
      </c>
    </row>
    <row r="349" spans="1:11" x14ac:dyDescent="0.15">
      <c r="A349" s="51" t="s">
        <v>350</v>
      </c>
      <c r="B349" s="51" t="s">
        <v>3533</v>
      </c>
      <c r="C349" s="51" t="s">
        <v>3831</v>
      </c>
    </row>
    <row r="350" spans="1:11" x14ac:dyDescent="0.15">
      <c r="A350" s="51" t="s">
        <v>350</v>
      </c>
      <c r="B350" s="51" t="s">
        <v>3533</v>
      </c>
      <c r="C350" s="51" t="s">
        <v>3832</v>
      </c>
      <c r="J350" s="51" t="s">
        <v>4161</v>
      </c>
      <c r="K350" s="51" t="s">
        <v>4161</v>
      </c>
    </row>
    <row r="351" spans="1:11" x14ac:dyDescent="0.15">
      <c r="A351" s="51" t="s">
        <v>350</v>
      </c>
      <c r="B351" s="51" t="s">
        <v>3534</v>
      </c>
      <c r="C351" s="51" t="s">
        <v>3833</v>
      </c>
    </row>
    <row r="352" spans="1:11" x14ac:dyDescent="0.15">
      <c r="A352" s="51" t="s">
        <v>350</v>
      </c>
      <c r="B352" s="51" t="s">
        <v>1043</v>
      </c>
      <c r="C352" s="51" t="s">
        <v>3834</v>
      </c>
    </row>
    <row r="353" spans="1:11" x14ac:dyDescent="0.15">
      <c r="A353" s="51" t="s">
        <v>350</v>
      </c>
      <c r="B353" s="51" t="s">
        <v>1043</v>
      </c>
      <c r="C353" s="51" t="s">
        <v>1044</v>
      </c>
      <c r="F353" s="52">
        <v>30</v>
      </c>
      <c r="G353" s="51" t="s">
        <v>1615</v>
      </c>
      <c r="J353" s="52">
        <v>17.899999999999999</v>
      </c>
      <c r="K353" s="51" t="s">
        <v>4159</v>
      </c>
    </row>
    <row r="354" spans="1:11" x14ac:dyDescent="0.15">
      <c r="A354" s="51" t="s">
        <v>350</v>
      </c>
      <c r="B354" s="51" t="s">
        <v>1043</v>
      </c>
      <c r="C354" s="51" t="s">
        <v>3835</v>
      </c>
    </row>
    <row r="355" spans="1:11" x14ac:dyDescent="0.15">
      <c r="A355" s="51" t="s">
        <v>350</v>
      </c>
      <c r="B355" s="51" t="s">
        <v>1047</v>
      </c>
      <c r="C355" s="51" t="s">
        <v>3836</v>
      </c>
    </row>
    <row r="356" spans="1:11" x14ac:dyDescent="0.15">
      <c r="A356" s="51" t="s">
        <v>350</v>
      </c>
      <c r="B356" s="51" t="s">
        <v>1047</v>
      </c>
      <c r="C356" s="51" t="s">
        <v>3837</v>
      </c>
      <c r="F356" s="52">
        <v>14.1</v>
      </c>
      <c r="G356" s="51" t="s">
        <v>3975</v>
      </c>
      <c r="J356" s="52">
        <v>12.4</v>
      </c>
      <c r="K356" s="51" t="s">
        <v>4159</v>
      </c>
    </row>
    <row r="357" spans="1:11" x14ac:dyDescent="0.15">
      <c r="A357" s="51" t="s">
        <v>350</v>
      </c>
      <c r="B357" s="51" t="s">
        <v>1047</v>
      </c>
      <c r="C357" s="51" t="s">
        <v>3838</v>
      </c>
    </row>
    <row r="358" spans="1:11" x14ac:dyDescent="0.15">
      <c r="A358" s="51" t="s">
        <v>350</v>
      </c>
      <c r="B358" s="51" t="s">
        <v>1047</v>
      </c>
      <c r="C358" s="51" t="s">
        <v>3839</v>
      </c>
    </row>
    <row r="359" spans="1:11" x14ac:dyDescent="0.15">
      <c r="A359" s="51" t="s">
        <v>350</v>
      </c>
      <c r="B359" s="51" t="s">
        <v>1047</v>
      </c>
      <c r="C359" s="51" t="s">
        <v>3748</v>
      </c>
      <c r="J359" s="51" t="s">
        <v>4161</v>
      </c>
      <c r="K359" s="51" t="s">
        <v>4161</v>
      </c>
    </row>
    <row r="360" spans="1:11" x14ac:dyDescent="0.15">
      <c r="A360" s="51" t="s">
        <v>350</v>
      </c>
      <c r="B360" s="51" t="s">
        <v>3535</v>
      </c>
      <c r="C360" s="51" t="s">
        <v>3664</v>
      </c>
      <c r="F360" s="52">
        <v>41</v>
      </c>
      <c r="G360" s="51" t="s">
        <v>3988</v>
      </c>
    </row>
    <row r="361" spans="1:11" x14ac:dyDescent="0.15">
      <c r="A361" s="51" t="s">
        <v>350</v>
      </c>
      <c r="B361" s="51" t="s">
        <v>3536</v>
      </c>
      <c r="C361" s="51" t="s">
        <v>3840</v>
      </c>
      <c r="F361" s="52">
        <v>10.1</v>
      </c>
      <c r="G361" s="51" t="s">
        <v>4159</v>
      </c>
    </row>
    <row r="362" spans="1:11" x14ac:dyDescent="0.15">
      <c r="A362" s="51" t="s">
        <v>350</v>
      </c>
      <c r="B362" s="51" t="s">
        <v>3536</v>
      </c>
      <c r="C362" s="51" t="s">
        <v>3841</v>
      </c>
    </row>
    <row r="363" spans="1:11" x14ac:dyDescent="0.15">
      <c r="A363" s="51" t="s">
        <v>350</v>
      </c>
      <c r="B363" s="51" t="s">
        <v>3536</v>
      </c>
      <c r="C363" s="51" t="s">
        <v>3842</v>
      </c>
    </row>
    <row r="364" spans="1:11" x14ac:dyDescent="0.15">
      <c r="A364" s="51" t="s">
        <v>350</v>
      </c>
      <c r="B364" s="51" t="s">
        <v>3536</v>
      </c>
      <c r="C364" s="51" t="s">
        <v>3843</v>
      </c>
    </row>
    <row r="365" spans="1:11" x14ac:dyDescent="0.15">
      <c r="A365" s="51" t="s">
        <v>350</v>
      </c>
      <c r="B365" s="51" t="s">
        <v>3536</v>
      </c>
      <c r="C365" s="51" t="s">
        <v>4012</v>
      </c>
    </row>
    <row r="366" spans="1:11" x14ac:dyDescent="0.15">
      <c r="A366" s="51" t="s">
        <v>350</v>
      </c>
      <c r="B366" s="51" t="s">
        <v>3536</v>
      </c>
      <c r="C366" s="51" t="s">
        <v>4294</v>
      </c>
    </row>
    <row r="367" spans="1:11" x14ac:dyDescent="0.15">
      <c r="A367" s="51" t="s">
        <v>350</v>
      </c>
      <c r="B367" s="51" t="s">
        <v>3536</v>
      </c>
      <c r="C367" s="51" t="s">
        <v>3844</v>
      </c>
    </row>
    <row r="368" spans="1:11" x14ac:dyDescent="0.15">
      <c r="A368" s="51" t="s">
        <v>350</v>
      </c>
      <c r="B368" s="51" t="s">
        <v>1048</v>
      </c>
      <c r="C368" s="51" t="s">
        <v>952</v>
      </c>
      <c r="F368" s="52">
        <v>24</v>
      </c>
      <c r="G368" s="51" t="s">
        <v>1395</v>
      </c>
    </row>
    <row r="369" spans="1:11" x14ac:dyDescent="0.15">
      <c r="A369" s="51" t="s">
        <v>350</v>
      </c>
      <c r="B369" s="51" t="s">
        <v>1048</v>
      </c>
      <c r="C369" s="51" t="s">
        <v>4031</v>
      </c>
    </row>
    <row r="370" spans="1:11" x14ac:dyDescent="0.15">
      <c r="A370" s="51" t="s">
        <v>350</v>
      </c>
      <c r="B370" s="51" t="s">
        <v>3537</v>
      </c>
      <c r="C370" s="51" t="s">
        <v>3845</v>
      </c>
    </row>
    <row r="371" spans="1:11" x14ac:dyDescent="0.15">
      <c r="A371" s="51" t="s">
        <v>350</v>
      </c>
      <c r="B371" s="51" t="s">
        <v>3537</v>
      </c>
      <c r="C371" s="51" t="s">
        <v>3846</v>
      </c>
    </row>
    <row r="372" spans="1:11" x14ac:dyDescent="0.15">
      <c r="A372" s="51" t="s">
        <v>350</v>
      </c>
      <c r="B372" s="51" t="s">
        <v>3538</v>
      </c>
      <c r="C372" s="51" t="s">
        <v>3485</v>
      </c>
      <c r="F372" s="52">
        <v>57</v>
      </c>
      <c r="G372" s="51" t="s">
        <v>3979</v>
      </c>
      <c r="J372" s="52">
        <v>50.6</v>
      </c>
      <c r="K372" s="51" t="s">
        <v>4159</v>
      </c>
    </row>
    <row r="377" spans="1:11" ht="15.75" customHeight="1" x14ac:dyDescent="0.15">
      <c r="A377" s="46" t="s">
        <v>4295</v>
      </c>
    </row>
    <row r="378" spans="1:11" ht="15.75" customHeight="1" x14ac:dyDescent="0.15">
      <c r="A378" s="46"/>
    </row>
    <row r="379" spans="1:11" ht="15.75" customHeight="1" x14ac:dyDescent="0.15">
      <c r="A379" s="47" t="s">
        <v>4296</v>
      </c>
    </row>
    <row r="380" spans="1:11" ht="15.75" customHeight="1" x14ac:dyDescent="0.15">
      <c r="A380" s="47"/>
    </row>
    <row r="381" spans="1:11" ht="15.75" customHeight="1" x14ac:dyDescent="0.15">
      <c r="A381" s="47" t="s">
        <v>4297</v>
      </c>
    </row>
    <row r="382" spans="1:11" ht="15.75" customHeight="1" x14ac:dyDescent="0.15">
      <c r="A382" s="47"/>
    </row>
    <row r="383" spans="1:11" ht="15.75" customHeight="1" x14ac:dyDescent="0.15">
      <c r="A383" s="47" t="s">
        <v>4298</v>
      </c>
    </row>
    <row r="384" spans="1:11" ht="15.75" customHeight="1" x14ac:dyDescent="0.15">
      <c r="A384" s="47"/>
    </row>
    <row r="385" spans="1:2" ht="15.75" customHeight="1" x14ac:dyDescent="0.15">
      <c r="A385" s="46"/>
    </row>
    <row r="386" spans="1:2" ht="15.75" customHeight="1" x14ac:dyDescent="0.15">
      <c r="A386" s="48" t="s">
        <v>4299</v>
      </c>
    </row>
    <row r="387" spans="1:2" ht="15.75" customHeight="1" x14ac:dyDescent="0.15">
      <c r="A387" s="46"/>
      <c r="B387" s="55"/>
    </row>
    <row r="388" spans="1:2" ht="15.75" customHeight="1" x14ac:dyDescent="0.15">
      <c r="A388" s="49" t="s">
        <v>5400</v>
      </c>
      <c r="B388" s="55"/>
    </row>
    <row r="389" spans="1:2" ht="15.75" customHeight="1" x14ac:dyDescent="0.15">
      <c r="A389" s="49"/>
      <c r="B389" s="55"/>
    </row>
    <row r="390" spans="1:2" ht="15.75" customHeight="1" x14ac:dyDescent="0.15">
      <c r="A390" s="46" t="s">
        <v>4300</v>
      </c>
      <c r="B390" s="55"/>
    </row>
    <row r="391" spans="1:2" ht="15.75" customHeight="1" x14ac:dyDescent="0.15">
      <c r="A391" s="46"/>
      <c r="B391" s="55"/>
    </row>
    <row r="392" spans="1:2" ht="15.75" customHeight="1" x14ac:dyDescent="0.15">
      <c r="A392" s="46" t="s">
        <v>4301</v>
      </c>
    </row>
    <row r="393" spans="1:2" ht="15.75" customHeight="1" x14ac:dyDescent="0.15">
      <c r="A393" s="46"/>
    </row>
    <row r="394" spans="1:2" ht="15.75" customHeight="1" x14ac:dyDescent="0.15">
      <c r="A394" s="46" t="s">
        <v>4302</v>
      </c>
    </row>
    <row r="395" spans="1:2" ht="15.75" customHeight="1" x14ac:dyDescent="0.15">
      <c r="A395" s="46"/>
    </row>
    <row r="396" spans="1:2" ht="15.75" customHeight="1" x14ac:dyDescent="0.15">
      <c r="A396" s="46" t="s">
        <v>4303</v>
      </c>
    </row>
    <row r="397" spans="1:2" ht="15.75" customHeight="1" x14ac:dyDescent="0.15">
      <c r="A397" s="46"/>
    </row>
    <row r="398" spans="1:2" ht="15.75" customHeight="1" x14ac:dyDescent="0.15">
      <c r="A398" s="46" t="s">
        <v>4304</v>
      </c>
    </row>
    <row r="399" spans="1:2" ht="15.75" customHeight="1" x14ac:dyDescent="0.15">
      <c r="A399" s="46"/>
    </row>
    <row r="400" spans="1:2" ht="15.75" customHeight="1" x14ac:dyDescent="0.15">
      <c r="A400" s="46" t="s">
        <v>4305</v>
      </c>
    </row>
    <row r="401" spans="1:1" ht="15.75" customHeight="1" x14ac:dyDescent="0.15">
      <c r="A401" s="46"/>
    </row>
    <row r="402" spans="1:1" ht="15.75" customHeight="1" x14ac:dyDescent="0.15">
      <c r="A402" s="46" t="s">
        <v>4306</v>
      </c>
    </row>
    <row r="403" spans="1:1" ht="15.75" customHeight="1" x14ac:dyDescent="0.15">
      <c r="A403" s="46"/>
    </row>
    <row r="404" spans="1:1" ht="15.75" customHeight="1" x14ac:dyDescent="0.15">
      <c r="A404" s="46" t="s">
        <v>4307</v>
      </c>
    </row>
    <row r="405" spans="1:1" ht="15.75" customHeight="1" x14ac:dyDescent="0.15">
      <c r="A405" s="46"/>
    </row>
    <row r="406" spans="1:1" ht="15.75" customHeight="1" x14ac:dyDescent="0.15">
      <c r="A406" s="46" t="s">
        <v>4308</v>
      </c>
    </row>
    <row r="407" spans="1:1" ht="15.75" customHeight="1" x14ac:dyDescent="0.15">
      <c r="A407" s="46"/>
    </row>
    <row r="408" spans="1:1" ht="15.75" customHeight="1" x14ac:dyDescent="0.15">
      <c r="A408" s="46" t="s">
        <v>4309</v>
      </c>
    </row>
    <row r="409" spans="1:1" ht="15.75" customHeight="1" x14ac:dyDescent="0.15">
      <c r="A409" s="46"/>
    </row>
    <row r="410" spans="1:1" ht="15.75" customHeight="1" x14ac:dyDescent="0.15">
      <c r="A410" s="46" t="s">
        <v>4310</v>
      </c>
    </row>
    <row r="411" spans="1:1" ht="15.75" customHeight="1" x14ac:dyDescent="0.15">
      <c r="A411" s="46"/>
    </row>
    <row r="412" spans="1:1" ht="15.75" customHeight="1" x14ac:dyDescent="0.15">
      <c r="A412" s="46" t="s">
        <v>4311</v>
      </c>
    </row>
    <row r="413" spans="1:1" ht="15.75" customHeight="1" x14ac:dyDescent="0.15">
      <c r="A413" s="46"/>
    </row>
    <row r="414" spans="1:1" ht="15.75" customHeight="1" x14ac:dyDescent="0.15">
      <c r="A414" s="46" t="s">
        <v>4312</v>
      </c>
    </row>
    <row r="415" spans="1:1" ht="15.75" customHeight="1" x14ac:dyDescent="0.15">
      <c r="A415" s="46"/>
    </row>
    <row r="416" spans="1:1" ht="15.75" customHeight="1" x14ac:dyDescent="0.15">
      <c r="A416" s="46" t="s">
        <v>4313</v>
      </c>
    </row>
    <row r="417" spans="1:1" ht="15.75" customHeight="1" x14ac:dyDescent="0.15">
      <c r="A417" s="46"/>
    </row>
    <row r="418" spans="1:1" ht="15.75" customHeight="1" x14ac:dyDescent="0.15">
      <c r="A418" s="46" t="s">
        <v>4314</v>
      </c>
    </row>
    <row r="419" spans="1:1" ht="15.75" customHeight="1" x14ac:dyDescent="0.15">
      <c r="A419" s="46"/>
    </row>
    <row r="420" spans="1:1" ht="15.75" customHeight="1" x14ac:dyDescent="0.15">
      <c r="A420" s="46" t="s">
        <v>4315</v>
      </c>
    </row>
    <row r="421" spans="1:1" ht="15.75" customHeight="1" x14ac:dyDescent="0.15">
      <c r="A421" s="46"/>
    </row>
    <row r="422" spans="1:1" ht="15.75" customHeight="1" x14ac:dyDescent="0.15">
      <c r="A422" s="46" t="s">
        <v>5178</v>
      </c>
    </row>
    <row r="423" spans="1:1" ht="15.75" customHeight="1" x14ac:dyDescent="0.15">
      <c r="A423" s="46"/>
    </row>
    <row r="424" spans="1:1" ht="15.75" customHeight="1" x14ac:dyDescent="0.15">
      <c r="A424" s="46" t="s">
        <v>4316</v>
      </c>
    </row>
    <row r="425" spans="1:1" ht="15.75" customHeight="1" x14ac:dyDescent="0.15">
      <c r="A425" s="46"/>
    </row>
    <row r="426" spans="1:1" ht="15.75" customHeight="1" x14ac:dyDescent="0.15">
      <c r="A426" s="46" t="s">
        <v>4317</v>
      </c>
    </row>
    <row r="427" spans="1:1" ht="15.75" customHeight="1" x14ac:dyDescent="0.15">
      <c r="A427" s="46"/>
    </row>
    <row r="428" spans="1:1" ht="15.75" customHeight="1" x14ac:dyDescent="0.15">
      <c r="A428" s="46" t="s">
        <v>4318</v>
      </c>
    </row>
    <row r="429" spans="1:1" ht="15.75" customHeight="1" x14ac:dyDescent="0.15">
      <c r="A429" s="46"/>
    </row>
    <row r="430" spans="1:1" ht="15.75" customHeight="1" x14ac:dyDescent="0.15">
      <c r="A430" s="46" t="s">
        <v>4319</v>
      </c>
    </row>
    <row r="431" spans="1:1" ht="15.75" customHeight="1" x14ac:dyDescent="0.15">
      <c r="A431" s="46"/>
    </row>
    <row r="432" spans="1:1" ht="15.75" customHeight="1" x14ac:dyDescent="0.15">
      <c r="A432" s="46" t="s">
        <v>4320</v>
      </c>
    </row>
    <row r="433" spans="1:1" ht="15.75" customHeight="1" x14ac:dyDescent="0.15">
      <c r="A433" s="46"/>
    </row>
    <row r="434" spans="1:1" ht="15.75" customHeight="1" x14ac:dyDescent="0.15">
      <c r="A434" s="46" t="s">
        <v>4321</v>
      </c>
    </row>
    <row r="435" spans="1:1" ht="15.75" customHeight="1" x14ac:dyDescent="0.15">
      <c r="A435" s="46"/>
    </row>
    <row r="436" spans="1:1" ht="15.75" customHeight="1" x14ac:dyDescent="0.15">
      <c r="A436" s="46" t="s">
        <v>4322</v>
      </c>
    </row>
    <row r="437" spans="1:1" ht="15.75" customHeight="1" x14ac:dyDescent="0.15">
      <c r="A437" s="46"/>
    </row>
    <row r="438" spans="1:1" ht="15.75" customHeight="1" x14ac:dyDescent="0.15">
      <c r="A438" s="49" t="s">
        <v>5401</v>
      </c>
    </row>
    <row r="439" spans="1:1" ht="15.75" customHeight="1" x14ac:dyDescent="0.15">
      <c r="A439" s="46"/>
    </row>
    <row r="440" spans="1:1" ht="15.75" customHeight="1" x14ac:dyDescent="0.15">
      <c r="A440" s="46" t="s">
        <v>4323</v>
      </c>
    </row>
    <row r="441" spans="1:1" ht="15.75" customHeight="1" x14ac:dyDescent="0.15">
      <c r="A441" s="46"/>
    </row>
    <row r="442" spans="1:1" ht="15.75" customHeight="1" x14ac:dyDescent="0.15">
      <c r="A442" s="46" t="s">
        <v>4324</v>
      </c>
    </row>
    <row r="443" spans="1:1" ht="15.75" customHeight="1" x14ac:dyDescent="0.15">
      <c r="A443" s="46"/>
    </row>
    <row r="444" spans="1:1" ht="15.75" customHeight="1" x14ac:dyDescent="0.15">
      <c r="A444" s="46" t="s">
        <v>4325</v>
      </c>
    </row>
    <row r="445" spans="1:1" ht="15.75" customHeight="1" x14ac:dyDescent="0.15">
      <c r="A445" s="46"/>
    </row>
    <row r="446" spans="1:1" ht="15.75" customHeight="1" x14ac:dyDescent="0.15">
      <c r="A446" s="46" t="s">
        <v>4326</v>
      </c>
    </row>
    <row r="447" spans="1:1" ht="15.75" customHeight="1" x14ac:dyDescent="0.15">
      <c r="A447" s="46"/>
    </row>
    <row r="448" spans="1:1" ht="15.75" customHeight="1" x14ac:dyDescent="0.15">
      <c r="A448" s="46" t="s">
        <v>4327</v>
      </c>
    </row>
    <row r="449" spans="1:1" ht="15.75" customHeight="1" x14ac:dyDescent="0.15">
      <c r="A449" s="46"/>
    </row>
    <row r="450" spans="1:1" ht="15.75" customHeight="1" x14ac:dyDescent="0.15">
      <c r="A450" s="46" t="s">
        <v>4328</v>
      </c>
    </row>
    <row r="451" spans="1:1" ht="15.75" customHeight="1" x14ac:dyDescent="0.15">
      <c r="A451" s="46"/>
    </row>
    <row r="452" spans="1:1" ht="15.75" customHeight="1" x14ac:dyDescent="0.15">
      <c r="A452" s="46" t="s">
        <v>4329</v>
      </c>
    </row>
    <row r="453" spans="1:1" ht="15.75" customHeight="1" x14ac:dyDescent="0.15">
      <c r="A453" s="46"/>
    </row>
    <row r="454" spans="1:1" ht="15.75" customHeight="1" x14ac:dyDescent="0.15">
      <c r="A454" s="46" t="s">
        <v>4330</v>
      </c>
    </row>
    <row r="455" spans="1:1" ht="15.75" customHeight="1" x14ac:dyDescent="0.15">
      <c r="A455" s="46"/>
    </row>
    <row r="456" spans="1:1" ht="15.75" customHeight="1" x14ac:dyDescent="0.15">
      <c r="A456" s="46" t="s">
        <v>4331</v>
      </c>
    </row>
    <row r="457" spans="1:1" ht="15.75" customHeight="1" x14ac:dyDescent="0.15">
      <c r="A457" s="46"/>
    </row>
    <row r="458" spans="1:1" ht="15.75" customHeight="1" x14ac:dyDescent="0.15">
      <c r="A458" s="46" t="s">
        <v>5402</v>
      </c>
    </row>
    <row r="459" spans="1:1" ht="15.75" customHeight="1" x14ac:dyDescent="0.15">
      <c r="A459" s="46"/>
    </row>
    <row r="460" spans="1:1" ht="15.75" customHeight="1" x14ac:dyDescent="0.15">
      <c r="A460" s="46" t="s">
        <v>4332</v>
      </c>
    </row>
    <row r="461" spans="1:1" ht="15.75" customHeight="1" x14ac:dyDescent="0.15">
      <c r="A461" s="46"/>
    </row>
    <row r="462" spans="1:1" ht="15.75" customHeight="1" x14ac:dyDescent="0.15">
      <c r="A462" s="46" t="s">
        <v>4333</v>
      </c>
    </row>
    <row r="463" spans="1:1" ht="15.75" customHeight="1" x14ac:dyDescent="0.15">
      <c r="A463" s="46"/>
    </row>
    <row r="464" spans="1:1" ht="15.75" customHeight="1" x14ac:dyDescent="0.15">
      <c r="A464" s="46" t="s">
        <v>4334</v>
      </c>
    </row>
    <row r="465" spans="1:1" ht="15.75" customHeight="1" x14ac:dyDescent="0.15">
      <c r="A465" s="46"/>
    </row>
    <row r="466" spans="1:1" ht="15.75" customHeight="1" x14ac:dyDescent="0.15">
      <c r="A466" s="46" t="s">
        <v>4335</v>
      </c>
    </row>
    <row r="467" spans="1:1" ht="15.75" customHeight="1" x14ac:dyDescent="0.15">
      <c r="A467" s="46"/>
    </row>
    <row r="468" spans="1:1" ht="15.75" customHeight="1" x14ac:dyDescent="0.15">
      <c r="A468" s="46" t="s">
        <v>4336</v>
      </c>
    </row>
    <row r="469" spans="1:1" ht="15.75" customHeight="1" x14ac:dyDescent="0.15">
      <c r="A469" s="46"/>
    </row>
    <row r="470" spans="1:1" ht="15.75" customHeight="1" x14ac:dyDescent="0.15">
      <c r="A470" s="46" t="s">
        <v>4337</v>
      </c>
    </row>
    <row r="471" spans="1:1" ht="15.75" customHeight="1" x14ac:dyDescent="0.15">
      <c r="A471" s="46"/>
    </row>
    <row r="472" spans="1:1" ht="15.75" customHeight="1" x14ac:dyDescent="0.15">
      <c r="A472" s="46" t="s">
        <v>4338</v>
      </c>
    </row>
    <row r="473" spans="1:1" ht="15.75" customHeight="1" x14ac:dyDescent="0.15">
      <c r="A473" s="46"/>
    </row>
    <row r="474" spans="1:1" ht="15.75" customHeight="1" x14ac:dyDescent="0.15">
      <c r="A474" s="46" t="s">
        <v>4339</v>
      </c>
    </row>
    <row r="475" spans="1:1" ht="15.75" customHeight="1" x14ac:dyDescent="0.15">
      <c r="A475" s="46"/>
    </row>
    <row r="476" spans="1:1" ht="15.75" customHeight="1" x14ac:dyDescent="0.15">
      <c r="A476" s="46" t="s">
        <v>4340</v>
      </c>
    </row>
    <row r="477" spans="1:1" ht="15.75" customHeight="1" x14ac:dyDescent="0.15">
      <c r="A477" s="46"/>
    </row>
    <row r="478" spans="1:1" ht="15.75" customHeight="1" x14ac:dyDescent="0.15">
      <c r="A478" s="46" t="s">
        <v>4341</v>
      </c>
    </row>
    <row r="479" spans="1:1" ht="15.75" customHeight="1" x14ac:dyDescent="0.15">
      <c r="A479" s="46"/>
    </row>
    <row r="480" spans="1:1" ht="15.75" customHeight="1" x14ac:dyDescent="0.15">
      <c r="A480" s="46" t="s">
        <v>4342</v>
      </c>
    </row>
    <row r="481" spans="1:1" ht="15.75" customHeight="1" x14ac:dyDescent="0.15">
      <c r="A481" s="46"/>
    </row>
    <row r="482" spans="1:1" ht="15.75" customHeight="1" x14ac:dyDescent="0.15">
      <c r="A482" s="46" t="s">
        <v>4343</v>
      </c>
    </row>
    <row r="483" spans="1:1" ht="15.75" customHeight="1" x14ac:dyDescent="0.15">
      <c r="A483" s="46"/>
    </row>
    <row r="484" spans="1:1" ht="15.75" customHeight="1" x14ac:dyDescent="0.15">
      <c r="A484" s="46" t="s">
        <v>4344</v>
      </c>
    </row>
    <row r="485" spans="1:1" ht="15.75" customHeight="1" x14ac:dyDescent="0.15">
      <c r="A485" s="46"/>
    </row>
    <row r="486" spans="1:1" ht="15.75" customHeight="1" x14ac:dyDescent="0.15">
      <c r="A486" s="46" t="s">
        <v>4345</v>
      </c>
    </row>
    <row r="487" spans="1:1" ht="15.75" customHeight="1" x14ac:dyDescent="0.15">
      <c r="A487" s="46"/>
    </row>
    <row r="488" spans="1:1" ht="15.75" customHeight="1" x14ac:dyDescent="0.15">
      <c r="A488" s="46" t="s">
        <v>4346</v>
      </c>
    </row>
    <row r="489" spans="1:1" ht="15.75" customHeight="1" x14ac:dyDescent="0.15">
      <c r="A489" s="46"/>
    </row>
    <row r="490" spans="1:1" ht="15.75" customHeight="1" x14ac:dyDescent="0.15">
      <c r="A490" s="46" t="s">
        <v>4347</v>
      </c>
    </row>
    <row r="491" spans="1:1" ht="15.75" customHeight="1" x14ac:dyDescent="0.15">
      <c r="A491" s="46"/>
    </row>
    <row r="492" spans="1:1" ht="15.75" customHeight="1" x14ac:dyDescent="0.15">
      <c r="A492" s="46" t="s">
        <v>4348</v>
      </c>
    </row>
    <row r="493" spans="1:1" ht="15.75" customHeight="1" x14ac:dyDescent="0.15">
      <c r="A493" s="46"/>
    </row>
    <row r="494" spans="1:1" ht="15.75" customHeight="1" x14ac:dyDescent="0.15">
      <c r="A494" s="46" t="s">
        <v>4349</v>
      </c>
    </row>
    <row r="495" spans="1:1" ht="15.75" customHeight="1" x14ac:dyDescent="0.15">
      <c r="A495" s="46"/>
    </row>
    <row r="496" spans="1:1" ht="15.75" customHeight="1" x14ac:dyDescent="0.15">
      <c r="A496" s="46" t="s">
        <v>4350</v>
      </c>
    </row>
    <row r="497" spans="1:1" ht="15.75" customHeight="1" x14ac:dyDescent="0.15">
      <c r="A497" s="46"/>
    </row>
    <row r="498" spans="1:1" ht="15.75" customHeight="1" x14ac:dyDescent="0.15">
      <c r="A498" s="46" t="s">
        <v>4351</v>
      </c>
    </row>
    <row r="499" spans="1:1" ht="15.75" customHeight="1" x14ac:dyDescent="0.15">
      <c r="A499" s="46"/>
    </row>
    <row r="500" spans="1:1" ht="15.75" customHeight="1" x14ac:dyDescent="0.15">
      <c r="A500" s="46" t="s">
        <v>4352</v>
      </c>
    </row>
    <row r="501" spans="1:1" ht="15.75" customHeight="1" x14ac:dyDescent="0.15">
      <c r="A501" s="46"/>
    </row>
    <row r="502" spans="1:1" ht="15.75" customHeight="1" x14ac:dyDescent="0.15">
      <c r="A502" s="46" t="s">
        <v>4353</v>
      </c>
    </row>
    <row r="503" spans="1:1" ht="15.75" customHeight="1" x14ac:dyDescent="0.15">
      <c r="A503" s="46"/>
    </row>
    <row r="504" spans="1:1" ht="15.75" customHeight="1" x14ac:dyDescent="0.15">
      <c r="A504" s="46" t="s">
        <v>4354</v>
      </c>
    </row>
    <row r="505" spans="1:1" ht="15.75" customHeight="1" x14ac:dyDescent="0.15">
      <c r="A505" s="46"/>
    </row>
    <row r="506" spans="1:1" ht="15.75" customHeight="1" x14ac:dyDescent="0.15">
      <c r="A506" s="46" t="s">
        <v>4355</v>
      </c>
    </row>
    <row r="507" spans="1:1" ht="15.75" customHeight="1" x14ac:dyDescent="0.15">
      <c r="A507" s="46"/>
    </row>
    <row r="508" spans="1:1" ht="15.75" customHeight="1" x14ac:dyDescent="0.15">
      <c r="A508" s="46" t="s">
        <v>4356</v>
      </c>
    </row>
    <row r="509" spans="1:1" ht="15.75" customHeight="1" x14ac:dyDescent="0.15">
      <c r="A509" s="46"/>
    </row>
    <row r="510" spans="1:1" ht="15.75" customHeight="1" x14ac:dyDescent="0.15">
      <c r="A510" s="46" t="s">
        <v>4357</v>
      </c>
    </row>
    <row r="511" spans="1:1" ht="15.75" customHeight="1" x14ac:dyDescent="0.15">
      <c r="A511" s="46"/>
    </row>
    <row r="512" spans="1:1" ht="15.75" customHeight="1" x14ac:dyDescent="0.15">
      <c r="A512" s="46" t="s">
        <v>4358</v>
      </c>
    </row>
    <row r="513" spans="1:1" ht="15.75" customHeight="1" x14ac:dyDescent="0.15">
      <c r="A513" s="46"/>
    </row>
    <row r="514" spans="1:1" ht="15.75" customHeight="1" x14ac:dyDescent="0.15">
      <c r="A514" s="46" t="s">
        <v>4359</v>
      </c>
    </row>
    <row r="515" spans="1:1" ht="15.75" customHeight="1" x14ac:dyDescent="0.15">
      <c r="A515" s="46"/>
    </row>
    <row r="516" spans="1:1" ht="15.75" customHeight="1" x14ac:dyDescent="0.15">
      <c r="A516" s="46" t="s">
        <v>4360</v>
      </c>
    </row>
    <row r="517" spans="1:1" ht="15.75" customHeight="1" x14ac:dyDescent="0.15">
      <c r="A517" s="46"/>
    </row>
    <row r="518" spans="1:1" ht="15.75" customHeight="1" x14ac:dyDescent="0.15">
      <c r="A518" s="46" t="s">
        <v>4361</v>
      </c>
    </row>
    <row r="519" spans="1:1" ht="15.75" customHeight="1" x14ac:dyDescent="0.15">
      <c r="A519" s="46"/>
    </row>
    <row r="520" spans="1:1" ht="15.75" customHeight="1" x14ac:dyDescent="0.15">
      <c r="A520" s="46" t="s">
        <v>4362</v>
      </c>
    </row>
    <row r="521" spans="1:1" ht="15.75" customHeight="1" x14ac:dyDescent="0.15">
      <c r="A521" s="46"/>
    </row>
    <row r="522" spans="1:1" ht="15.75" customHeight="1" x14ac:dyDescent="0.15">
      <c r="A522" s="46" t="s">
        <v>4363</v>
      </c>
    </row>
    <row r="523" spans="1:1" ht="15.75" customHeight="1" x14ac:dyDescent="0.15">
      <c r="A523" s="46"/>
    </row>
    <row r="524" spans="1:1" ht="15.75" customHeight="1" x14ac:dyDescent="0.15">
      <c r="A524" s="46" t="s">
        <v>4364</v>
      </c>
    </row>
    <row r="525" spans="1:1" ht="15.75" customHeight="1" x14ac:dyDescent="0.15">
      <c r="A525" s="46"/>
    </row>
    <row r="526" spans="1:1" ht="15.75" customHeight="1" x14ac:dyDescent="0.15">
      <c r="A526" s="46" t="s">
        <v>4365</v>
      </c>
    </row>
    <row r="527" spans="1:1" ht="15.75" customHeight="1" x14ac:dyDescent="0.15">
      <c r="A527" s="46"/>
    </row>
    <row r="528" spans="1:1" ht="15.75" customHeight="1" x14ac:dyDescent="0.15">
      <c r="A528" s="46" t="s">
        <v>4366</v>
      </c>
    </row>
    <row r="529" spans="1:1" ht="15.75" customHeight="1" x14ac:dyDescent="0.15">
      <c r="A529" s="46"/>
    </row>
    <row r="530" spans="1:1" ht="15.75" customHeight="1" x14ac:dyDescent="0.15">
      <c r="A530" s="46" t="s">
        <v>4367</v>
      </c>
    </row>
    <row r="531" spans="1:1" ht="15.75" customHeight="1" x14ac:dyDescent="0.15">
      <c r="A531" s="46"/>
    </row>
    <row r="532" spans="1:1" ht="15.75" customHeight="1" x14ac:dyDescent="0.15">
      <c r="A532" s="46" t="s">
        <v>5403</v>
      </c>
    </row>
    <row r="533" spans="1:1" ht="15.75" customHeight="1" x14ac:dyDescent="0.15">
      <c r="A533" s="46"/>
    </row>
    <row r="534" spans="1:1" ht="15.75" customHeight="1" x14ac:dyDescent="0.15">
      <c r="A534" s="46" t="s">
        <v>4368</v>
      </c>
    </row>
    <row r="535" spans="1:1" ht="15.75" customHeight="1" x14ac:dyDescent="0.15">
      <c r="A535" s="46"/>
    </row>
    <row r="536" spans="1:1" ht="15.75" customHeight="1" x14ac:dyDescent="0.15">
      <c r="A536" s="46" t="s">
        <v>4369</v>
      </c>
    </row>
    <row r="537" spans="1:1" ht="15.75" customHeight="1" x14ac:dyDescent="0.15">
      <c r="A537" s="46"/>
    </row>
    <row r="538" spans="1:1" ht="15.75" customHeight="1" x14ac:dyDescent="0.15">
      <c r="A538" s="46" t="s">
        <v>4370</v>
      </c>
    </row>
    <row r="539" spans="1:1" ht="15.75" customHeight="1" x14ac:dyDescent="0.15">
      <c r="A539" s="46"/>
    </row>
    <row r="540" spans="1:1" ht="15.75" customHeight="1" x14ac:dyDescent="0.15">
      <c r="A540" s="46" t="s">
        <v>4371</v>
      </c>
    </row>
    <row r="541" spans="1:1" ht="15.75" customHeight="1" x14ac:dyDescent="0.15">
      <c r="A541" s="46"/>
    </row>
    <row r="542" spans="1:1" ht="15.75" customHeight="1" x14ac:dyDescent="0.15">
      <c r="A542" s="46" t="s">
        <v>4372</v>
      </c>
    </row>
    <row r="543" spans="1:1" ht="15.75" customHeight="1" x14ac:dyDescent="0.15">
      <c r="A543" s="46"/>
    </row>
    <row r="544" spans="1:1" ht="15.75" customHeight="1" x14ac:dyDescent="0.15">
      <c r="A544" s="46" t="s">
        <v>4373</v>
      </c>
    </row>
    <row r="545" spans="1:1" ht="15.75" customHeight="1" x14ac:dyDescent="0.15">
      <c r="A545" s="46"/>
    </row>
    <row r="546" spans="1:1" ht="15.75" customHeight="1" x14ac:dyDescent="0.15">
      <c r="A546" s="46" t="s">
        <v>4374</v>
      </c>
    </row>
    <row r="547" spans="1:1" ht="15.75" customHeight="1" x14ac:dyDescent="0.15">
      <c r="A547" s="46"/>
    </row>
    <row r="548" spans="1:1" ht="15.75" customHeight="1" x14ac:dyDescent="0.15">
      <c r="A548" s="46" t="s">
        <v>4375</v>
      </c>
    </row>
    <row r="549" spans="1:1" ht="15.75" customHeight="1" x14ac:dyDescent="0.15">
      <c r="A549" s="46"/>
    </row>
    <row r="550" spans="1:1" ht="15.75" customHeight="1" x14ac:dyDescent="0.15">
      <c r="A550" s="46" t="s">
        <v>4376</v>
      </c>
    </row>
    <row r="551" spans="1:1" ht="15.75" customHeight="1" x14ac:dyDescent="0.15">
      <c r="A551" s="46"/>
    </row>
    <row r="552" spans="1:1" ht="15.75" customHeight="1" x14ac:dyDescent="0.15">
      <c r="A552" s="46" t="s">
        <v>4377</v>
      </c>
    </row>
    <row r="553" spans="1:1" ht="15.75" customHeight="1" x14ac:dyDescent="0.15">
      <c r="A553" s="46"/>
    </row>
    <row r="554" spans="1:1" ht="15.75" customHeight="1" x14ac:dyDescent="0.15">
      <c r="A554" s="46" t="s">
        <v>4378</v>
      </c>
    </row>
    <row r="555" spans="1:1" ht="15.75" customHeight="1" x14ac:dyDescent="0.15">
      <c r="A555" s="46"/>
    </row>
    <row r="556" spans="1:1" ht="15.75" customHeight="1" x14ac:dyDescent="0.15">
      <c r="A556" s="46" t="s">
        <v>4379</v>
      </c>
    </row>
    <row r="557" spans="1:1" ht="15.75" customHeight="1" x14ac:dyDescent="0.15">
      <c r="A557" s="46"/>
    </row>
    <row r="558" spans="1:1" ht="15.75" customHeight="1" x14ac:dyDescent="0.15">
      <c r="A558" s="46" t="s">
        <v>4380</v>
      </c>
    </row>
    <row r="559" spans="1:1" ht="15.75" customHeight="1" x14ac:dyDescent="0.15">
      <c r="A559" s="46"/>
    </row>
    <row r="560" spans="1:1" ht="15.75" customHeight="1" x14ac:dyDescent="0.15">
      <c r="A560" s="46" t="s">
        <v>4381</v>
      </c>
    </row>
    <row r="561" spans="1:1" ht="15.75" customHeight="1" x14ac:dyDescent="0.15">
      <c r="A561" s="46"/>
    </row>
    <row r="562" spans="1:1" ht="15.75" customHeight="1" x14ac:dyDescent="0.15">
      <c r="A562" s="46" t="s">
        <v>4382</v>
      </c>
    </row>
    <row r="563" spans="1:1" ht="15.75" customHeight="1" x14ac:dyDescent="0.15">
      <c r="A563" s="46"/>
    </row>
    <row r="564" spans="1:1" ht="15.75" customHeight="1" x14ac:dyDescent="0.15">
      <c r="A564" s="46" t="s">
        <v>4383</v>
      </c>
    </row>
    <row r="565" spans="1:1" ht="15.75" customHeight="1" x14ac:dyDescent="0.15">
      <c r="A565" s="46"/>
    </row>
    <row r="566" spans="1:1" ht="15.75" customHeight="1" x14ac:dyDescent="0.15">
      <c r="A566" s="46" t="s">
        <v>4384</v>
      </c>
    </row>
    <row r="567" spans="1:1" ht="15.75" customHeight="1" x14ac:dyDescent="0.15">
      <c r="A567" s="46"/>
    </row>
    <row r="568" spans="1:1" ht="15.75" customHeight="1" x14ac:dyDescent="0.15">
      <c r="A568" s="46" t="s">
        <v>4385</v>
      </c>
    </row>
    <row r="569" spans="1:1" ht="15.75" customHeight="1" x14ac:dyDescent="0.15">
      <c r="A569" s="46"/>
    </row>
    <row r="570" spans="1:1" ht="15.75" customHeight="1" x14ac:dyDescent="0.15">
      <c r="A570" s="46" t="s">
        <v>4386</v>
      </c>
    </row>
    <row r="571" spans="1:1" ht="15.75" customHeight="1" x14ac:dyDescent="0.15">
      <c r="A571" s="46"/>
    </row>
    <row r="572" spans="1:1" ht="15.75" customHeight="1" x14ac:dyDescent="0.15">
      <c r="A572" s="46" t="s">
        <v>4387</v>
      </c>
    </row>
    <row r="573" spans="1:1" ht="15.75" customHeight="1" x14ac:dyDescent="0.15">
      <c r="A573" s="46"/>
    </row>
    <row r="574" spans="1:1" ht="15.75" customHeight="1" x14ac:dyDescent="0.15">
      <c r="A574" s="46" t="s">
        <v>4388</v>
      </c>
    </row>
    <row r="575" spans="1:1" ht="15.75" customHeight="1" x14ac:dyDescent="0.15">
      <c r="A575" s="46"/>
    </row>
    <row r="576" spans="1:1" ht="15.75" customHeight="1" x14ac:dyDescent="0.15">
      <c r="A576" s="46" t="s">
        <v>4389</v>
      </c>
    </row>
    <row r="577" spans="1:1" ht="15.75" customHeight="1" x14ac:dyDescent="0.15">
      <c r="A577" s="46"/>
    </row>
    <row r="578" spans="1:1" ht="15.75" customHeight="1" x14ac:dyDescent="0.15">
      <c r="A578" s="46" t="s">
        <v>4390</v>
      </c>
    </row>
    <row r="579" spans="1:1" ht="15.75" customHeight="1" x14ac:dyDescent="0.15">
      <c r="A579" s="46"/>
    </row>
    <row r="580" spans="1:1" ht="15.75" customHeight="1" x14ac:dyDescent="0.15">
      <c r="A580" s="46" t="s">
        <v>4447</v>
      </c>
    </row>
    <row r="581" spans="1:1" ht="15.75" customHeight="1" x14ac:dyDescent="0.15">
      <c r="A581" s="46"/>
    </row>
    <row r="582" spans="1:1" ht="15.75" customHeight="1" x14ac:dyDescent="0.15">
      <c r="A582" s="46" t="s">
        <v>4391</v>
      </c>
    </row>
    <row r="583" spans="1:1" ht="15.75" customHeight="1" x14ac:dyDescent="0.15">
      <c r="A583" s="46"/>
    </row>
    <row r="584" spans="1:1" ht="15.75" customHeight="1" x14ac:dyDescent="0.15">
      <c r="A584" s="46" t="s">
        <v>4392</v>
      </c>
    </row>
    <row r="585" spans="1:1" ht="15.75" customHeight="1" x14ac:dyDescent="0.15">
      <c r="A585" s="46"/>
    </row>
    <row r="586" spans="1:1" ht="15.75" customHeight="1" x14ac:dyDescent="0.15">
      <c r="A586" s="46" t="s">
        <v>4393</v>
      </c>
    </row>
    <row r="587" spans="1:1" ht="15.75" customHeight="1" x14ac:dyDescent="0.15">
      <c r="A587" s="46"/>
    </row>
    <row r="588" spans="1:1" ht="15.75" customHeight="1" x14ac:dyDescent="0.15">
      <c r="A588" s="46" t="s">
        <v>4394</v>
      </c>
    </row>
    <row r="589" spans="1:1" ht="15.75" customHeight="1" x14ac:dyDescent="0.15">
      <c r="A589" s="46"/>
    </row>
    <row r="590" spans="1:1" ht="15.75" customHeight="1" x14ac:dyDescent="0.15">
      <c r="A590" s="46" t="s">
        <v>4395</v>
      </c>
    </row>
    <row r="591" spans="1:1" ht="15.75" customHeight="1" x14ac:dyDescent="0.15">
      <c r="A591" s="46"/>
    </row>
    <row r="592" spans="1:1" ht="15.75" customHeight="1" x14ac:dyDescent="0.15">
      <c r="A592" s="46" t="s">
        <v>4396</v>
      </c>
    </row>
    <row r="593" spans="1:1" ht="15.75" customHeight="1" x14ac:dyDescent="0.15">
      <c r="A593" s="46"/>
    </row>
    <row r="594" spans="1:1" ht="15.75" customHeight="1" x14ac:dyDescent="0.15">
      <c r="A594" s="46" t="s">
        <v>4397</v>
      </c>
    </row>
    <row r="595" spans="1:1" ht="15.75" customHeight="1" x14ac:dyDescent="0.15">
      <c r="A595" s="46"/>
    </row>
    <row r="596" spans="1:1" ht="15.75" customHeight="1" x14ac:dyDescent="0.15">
      <c r="A596" s="46" t="s">
        <v>4398</v>
      </c>
    </row>
    <row r="597" spans="1:1" ht="15.75" customHeight="1" x14ac:dyDescent="0.15">
      <c r="A597" s="46"/>
    </row>
    <row r="598" spans="1:1" ht="15.75" customHeight="1" x14ac:dyDescent="0.15">
      <c r="A598" s="46" t="s">
        <v>5404</v>
      </c>
    </row>
    <row r="599" spans="1:1" ht="15.75" customHeight="1" x14ac:dyDescent="0.15">
      <c r="A599" s="46"/>
    </row>
    <row r="600" spans="1:1" ht="15.75" customHeight="1" x14ac:dyDescent="0.15">
      <c r="A600" s="46" t="s">
        <v>4399</v>
      </c>
    </row>
    <row r="601" spans="1:1" ht="15.75" customHeight="1" x14ac:dyDescent="0.15">
      <c r="A601" s="46"/>
    </row>
    <row r="602" spans="1:1" ht="15.75" customHeight="1" x14ac:dyDescent="0.15">
      <c r="A602" s="46" t="s">
        <v>4400</v>
      </c>
    </row>
    <row r="603" spans="1:1" ht="15.75" customHeight="1" x14ac:dyDescent="0.15">
      <c r="A603" s="46"/>
    </row>
    <row r="604" spans="1:1" ht="15.75" customHeight="1" x14ac:dyDescent="0.15">
      <c r="A604" s="46" t="s">
        <v>4401</v>
      </c>
    </row>
    <row r="605" spans="1:1" ht="15.75" customHeight="1" x14ac:dyDescent="0.15">
      <c r="A605" s="46"/>
    </row>
    <row r="606" spans="1:1" ht="15.75" customHeight="1" x14ac:dyDescent="0.15">
      <c r="A606" s="46" t="s">
        <v>4402</v>
      </c>
    </row>
    <row r="607" spans="1:1" ht="15.75" customHeight="1" x14ac:dyDescent="0.15">
      <c r="A607" s="46"/>
    </row>
    <row r="608" spans="1:1" ht="15.75" customHeight="1" x14ac:dyDescent="0.15">
      <c r="A608" s="46" t="s">
        <v>4403</v>
      </c>
    </row>
    <row r="609" spans="1:1" ht="15.75" customHeight="1" x14ac:dyDescent="0.15">
      <c r="A609" s="46"/>
    </row>
    <row r="610" spans="1:1" ht="15.75" customHeight="1" x14ac:dyDescent="0.15">
      <c r="A610" s="46" t="s">
        <v>4404</v>
      </c>
    </row>
    <row r="611" spans="1:1" ht="15.75" customHeight="1" x14ac:dyDescent="0.15">
      <c r="A611" s="46"/>
    </row>
    <row r="612" spans="1:1" ht="15.75" customHeight="1" x14ac:dyDescent="0.15">
      <c r="A612" s="46" t="s">
        <v>4405</v>
      </c>
    </row>
    <row r="613" spans="1:1" ht="15.75" customHeight="1" x14ac:dyDescent="0.15">
      <c r="A613" s="46"/>
    </row>
    <row r="614" spans="1:1" ht="15.75" customHeight="1" x14ac:dyDescent="0.15">
      <c r="A614" s="46" t="s">
        <v>4406</v>
      </c>
    </row>
    <row r="615" spans="1:1" ht="15.75" customHeight="1" x14ac:dyDescent="0.15">
      <c r="A615" s="46"/>
    </row>
    <row r="616" spans="1:1" ht="15.75" customHeight="1" x14ac:dyDescent="0.15">
      <c r="A616" s="46" t="s">
        <v>4407</v>
      </c>
    </row>
    <row r="617" spans="1:1" ht="15.75" customHeight="1" x14ac:dyDescent="0.15">
      <c r="A617" s="46"/>
    </row>
    <row r="618" spans="1:1" ht="15.75" customHeight="1" x14ac:dyDescent="0.15">
      <c r="A618" s="46" t="s">
        <v>4408</v>
      </c>
    </row>
    <row r="619" spans="1:1" ht="15.75" customHeight="1" x14ac:dyDescent="0.15">
      <c r="A619" s="46"/>
    </row>
    <row r="620" spans="1:1" ht="15.75" customHeight="1" x14ac:dyDescent="0.15">
      <c r="A620" s="46" t="s">
        <v>4409</v>
      </c>
    </row>
    <row r="621" spans="1:1" ht="15.75" customHeight="1" x14ac:dyDescent="0.15">
      <c r="A621" s="46"/>
    </row>
    <row r="622" spans="1:1" ht="15.75" customHeight="1" x14ac:dyDescent="0.15">
      <c r="A622" s="46" t="s">
        <v>4410</v>
      </c>
    </row>
    <row r="623" spans="1:1" ht="15.75" customHeight="1" x14ac:dyDescent="0.15">
      <c r="A623" s="46"/>
    </row>
    <row r="624" spans="1:1" ht="15.75" customHeight="1" x14ac:dyDescent="0.15">
      <c r="A624" s="46" t="s">
        <v>4411</v>
      </c>
    </row>
    <row r="625" spans="1:1" ht="15.75" customHeight="1" x14ac:dyDescent="0.15">
      <c r="A625" s="46"/>
    </row>
    <row r="626" spans="1:1" ht="15.75" customHeight="1" x14ac:dyDescent="0.15">
      <c r="A626" s="46" t="s">
        <v>4412</v>
      </c>
    </row>
    <row r="627" spans="1:1" ht="15.75" customHeight="1" x14ac:dyDescent="0.15">
      <c r="A627" s="46"/>
    </row>
    <row r="628" spans="1:1" ht="15.75" customHeight="1" x14ac:dyDescent="0.15">
      <c r="A628" s="46" t="s">
        <v>4413</v>
      </c>
    </row>
    <row r="629" spans="1:1" ht="15.75" customHeight="1" x14ac:dyDescent="0.15">
      <c r="A629" s="46"/>
    </row>
    <row r="630" spans="1:1" ht="15.75" customHeight="1" x14ac:dyDescent="0.15">
      <c r="A630" s="46" t="s">
        <v>4414</v>
      </c>
    </row>
    <row r="631" spans="1:1" ht="15.75" customHeight="1" x14ac:dyDescent="0.15">
      <c r="A631" s="46"/>
    </row>
    <row r="632" spans="1:1" ht="15.75" customHeight="1" x14ac:dyDescent="0.15">
      <c r="A632" s="46" t="s">
        <v>4415</v>
      </c>
    </row>
    <row r="633" spans="1:1" ht="15.75" customHeight="1" x14ac:dyDescent="0.15">
      <c r="A633" s="46"/>
    </row>
    <row r="634" spans="1:1" ht="15.75" customHeight="1" x14ac:dyDescent="0.15">
      <c r="A634" s="46" t="s">
        <v>4416</v>
      </c>
    </row>
    <row r="635" spans="1:1" ht="15.75" customHeight="1" x14ac:dyDescent="0.15">
      <c r="A635" s="46"/>
    </row>
    <row r="636" spans="1:1" ht="15.75" customHeight="1" x14ac:dyDescent="0.15">
      <c r="A636" s="49" t="s">
        <v>4448</v>
      </c>
    </row>
    <row r="637" spans="1:1" ht="15.75" customHeight="1" x14ac:dyDescent="0.15">
      <c r="A637" s="46"/>
    </row>
    <row r="638" spans="1:1" ht="15.75" customHeight="1" x14ac:dyDescent="0.15">
      <c r="A638" s="46" t="s">
        <v>4417</v>
      </c>
    </row>
    <row r="639" spans="1:1" ht="15.75" customHeight="1" x14ac:dyDescent="0.15">
      <c r="A639" s="46"/>
    </row>
    <row r="640" spans="1:1" ht="15.75" customHeight="1" x14ac:dyDescent="0.15">
      <c r="A640" s="46" t="s">
        <v>4418</v>
      </c>
    </row>
    <row r="641" spans="1:1" ht="15.75" customHeight="1" x14ac:dyDescent="0.15">
      <c r="A641" s="46"/>
    </row>
    <row r="642" spans="1:1" ht="15.75" customHeight="1" x14ac:dyDescent="0.15">
      <c r="A642" s="46" t="s">
        <v>4419</v>
      </c>
    </row>
    <row r="643" spans="1:1" ht="15.75" customHeight="1" x14ac:dyDescent="0.15">
      <c r="A643" s="46"/>
    </row>
    <row r="644" spans="1:1" ht="15.75" customHeight="1" x14ac:dyDescent="0.15">
      <c r="A644" s="46" t="s">
        <v>4420</v>
      </c>
    </row>
    <row r="645" spans="1:1" ht="15.75" customHeight="1" x14ac:dyDescent="0.15">
      <c r="A645" s="46"/>
    </row>
    <row r="646" spans="1:1" ht="15.75" customHeight="1" x14ac:dyDescent="0.15">
      <c r="A646" s="46"/>
    </row>
    <row r="647" spans="1:1" ht="15.75" customHeight="1" x14ac:dyDescent="0.15">
      <c r="A647" s="48" t="s">
        <v>4421</v>
      </c>
    </row>
    <row r="648" spans="1:1" ht="15.75" customHeight="1" x14ac:dyDescent="0.15">
      <c r="A648" s="46"/>
    </row>
    <row r="649" spans="1:1" ht="15.75" customHeight="1" x14ac:dyDescent="0.15">
      <c r="A649" s="46" t="s">
        <v>4422</v>
      </c>
    </row>
    <row r="650" spans="1:1" ht="15.75" customHeight="1" x14ac:dyDescent="0.15">
      <c r="A650" s="46"/>
    </row>
    <row r="651" spans="1:1" ht="15.75" customHeight="1" x14ac:dyDescent="0.15">
      <c r="A651" s="46" t="s">
        <v>4423</v>
      </c>
    </row>
    <row r="652" spans="1:1" ht="15.75" customHeight="1" x14ac:dyDescent="0.15">
      <c r="A652" s="46"/>
    </row>
    <row r="653" spans="1:1" ht="15.75" customHeight="1" x14ac:dyDescent="0.15">
      <c r="A653" s="46" t="s">
        <v>4424</v>
      </c>
    </row>
    <row r="654" spans="1:1" ht="15.75" customHeight="1" x14ac:dyDescent="0.15">
      <c r="A654" s="46"/>
    </row>
    <row r="655" spans="1:1" ht="15.75" customHeight="1" x14ac:dyDescent="0.15">
      <c r="A655" s="46" t="s">
        <v>4425</v>
      </c>
    </row>
    <row r="656" spans="1:1" ht="15.75" customHeight="1" x14ac:dyDescent="0.15">
      <c r="A656" s="46"/>
    </row>
    <row r="657" spans="1:1" ht="15.75" customHeight="1" x14ac:dyDescent="0.15">
      <c r="A657" s="46" t="s">
        <v>4426</v>
      </c>
    </row>
    <row r="658" spans="1:1" ht="15.75" customHeight="1" x14ac:dyDescent="0.15">
      <c r="A658" s="46"/>
    </row>
    <row r="659" spans="1:1" ht="15.75" customHeight="1" x14ac:dyDescent="0.15">
      <c r="A659" s="46" t="s">
        <v>4427</v>
      </c>
    </row>
    <row r="660" spans="1:1" ht="15.75" customHeight="1" x14ac:dyDescent="0.15">
      <c r="A660" s="46"/>
    </row>
    <row r="661" spans="1:1" ht="15.75" customHeight="1" x14ac:dyDescent="0.15">
      <c r="A661" s="46" t="s">
        <v>4428</v>
      </c>
    </row>
    <row r="662" spans="1:1" ht="15.75" customHeight="1" x14ac:dyDescent="0.15">
      <c r="A662" s="46"/>
    </row>
    <row r="663" spans="1:1" ht="15.75" customHeight="1" x14ac:dyDescent="0.15">
      <c r="A663" s="46" t="s">
        <v>4429</v>
      </c>
    </row>
    <row r="664" spans="1:1" ht="15.75" customHeight="1" x14ac:dyDescent="0.15">
      <c r="A664" s="46"/>
    </row>
    <row r="665" spans="1:1" ht="15.75" customHeight="1" x14ac:dyDescent="0.15">
      <c r="A665" s="46" t="s">
        <v>4430</v>
      </c>
    </row>
    <row r="666" spans="1:1" ht="15.75" customHeight="1" x14ac:dyDescent="0.15">
      <c r="A666" s="46"/>
    </row>
    <row r="667" spans="1:1" ht="15.75" customHeight="1" x14ac:dyDescent="0.15">
      <c r="A667" s="46" t="s">
        <v>4431</v>
      </c>
    </row>
    <row r="668" spans="1:1" ht="15.75" customHeight="1" x14ac:dyDescent="0.15">
      <c r="A668" s="46"/>
    </row>
    <row r="669" spans="1:1" ht="15.75" customHeight="1" x14ac:dyDescent="0.15">
      <c r="A669" s="46" t="s">
        <v>4432</v>
      </c>
    </row>
    <row r="670" spans="1:1" ht="15.75" customHeight="1" x14ac:dyDescent="0.15">
      <c r="A670" s="46"/>
    </row>
    <row r="671" spans="1:1" ht="15.75" customHeight="1" x14ac:dyDescent="0.15">
      <c r="A671" s="46" t="s">
        <v>4433</v>
      </c>
    </row>
    <row r="672" spans="1:1" ht="15.75" customHeight="1" x14ac:dyDescent="0.15">
      <c r="A672" s="46"/>
    </row>
    <row r="673" spans="1:1" ht="15.75" customHeight="1" x14ac:dyDescent="0.15">
      <c r="A673" s="46" t="s">
        <v>4434</v>
      </c>
    </row>
    <row r="674" spans="1:1" ht="15.75" customHeight="1" x14ac:dyDescent="0.15">
      <c r="A674" s="46"/>
    </row>
    <row r="675" spans="1:1" ht="15.75" customHeight="1" x14ac:dyDescent="0.15">
      <c r="A675" s="46" t="s">
        <v>4435</v>
      </c>
    </row>
    <row r="676" spans="1:1" ht="15.75" customHeight="1" x14ac:dyDescent="0.15">
      <c r="A676" s="46"/>
    </row>
    <row r="677" spans="1:1" ht="15.75" customHeight="1" x14ac:dyDescent="0.15">
      <c r="A677" s="46" t="s">
        <v>4436</v>
      </c>
    </row>
    <row r="678" spans="1:1" ht="15.75" customHeight="1" x14ac:dyDescent="0.15">
      <c r="A678" s="46"/>
    </row>
    <row r="679" spans="1:1" ht="15.75" customHeight="1" x14ac:dyDescent="0.15">
      <c r="A679" s="46" t="s">
        <v>4446</v>
      </c>
    </row>
    <row r="680" spans="1:1" ht="15.75" customHeight="1" x14ac:dyDescent="0.15">
      <c r="A680" s="46"/>
    </row>
    <row r="681" spans="1:1" ht="15.75" customHeight="1" x14ac:dyDescent="0.15">
      <c r="A681" s="46" t="s">
        <v>4437</v>
      </c>
    </row>
    <row r="682" spans="1:1" ht="15.75" customHeight="1" x14ac:dyDescent="0.15">
      <c r="A682" s="46"/>
    </row>
    <row r="683" spans="1:1" ht="15.75" customHeight="1" x14ac:dyDescent="0.15">
      <c r="A683" s="46" t="s">
        <v>4438</v>
      </c>
    </row>
    <row r="684" spans="1:1" ht="15.75" customHeight="1" x14ac:dyDescent="0.15">
      <c r="A684" s="46"/>
    </row>
    <row r="685" spans="1:1" ht="15.75" customHeight="1" x14ac:dyDescent="0.15">
      <c r="A685" s="46" t="s">
        <v>4439</v>
      </c>
    </row>
    <row r="686" spans="1:1" ht="15.75" customHeight="1" x14ac:dyDescent="0.15">
      <c r="A686" s="46"/>
    </row>
    <row r="687" spans="1:1" ht="15.75" customHeight="1" x14ac:dyDescent="0.15">
      <c r="A687" s="46" t="s">
        <v>4440</v>
      </c>
    </row>
    <row r="688" spans="1:1" ht="15.75" customHeight="1" x14ac:dyDescent="0.15">
      <c r="A688" s="46"/>
    </row>
    <row r="689" spans="1:1" ht="15.75" customHeight="1" x14ac:dyDescent="0.15">
      <c r="A689" s="46" t="s">
        <v>4441</v>
      </c>
    </row>
    <row r="690" spans="1:1" ht="15.75" customHeight="1" x14ac:dyDescent="0.15">
      <c r="A690" s="46"/>
    </row>
    <row r="691" spans="1:1" ht="15.75" customHeight="1" x14ac:dyDescent="0.15">
      <c r="A691" s="46" t="s">
        <v>4442</v>
      </c>
    </row>
    <row r="692" spans="1:1" ht="15.75" customHeight="1" x14ac:dyDescent="0.15">
      <c r="A692" s="46"/>
    </row>
    <row r="693" spans="1:1" ht="15.75" customHeight="1" x14ac:dyDescent="0.15">
      <c r="A693" s="46" t="s">
        <v>4443</v>
      </c>
    </row>
    <row r="694" spans="1:1" ht="15.75" customHeight="1" x14ac:dyDescent="0.15">
      <c r="A694" s="46"/>
    </row>
    <row r="695" spans="1:1" ht="15.75" customHeight="1" x14ac:dyDescent="0.15">
      <c r="A695" s="46" t="s">
        <v>4444</v>
      </c>
    </row>
    <row r="696" spans="1:1" ht="15.75" customHeight="1" x14ac:dyDescent="0.15">
      <c r="A696" s="46"/>
    </row>
    <row r="697" spans="1:1" ht="15.75" customHeight="1" x14ac:dyDescent="0.15">
      <c r="A697" s="46" t="s">
        <v>4445</v>
      </c>
    </row>
    <row r="698" spans="1:1" ht="15.75" customHeight="1" x14ac:dyDescent="0.15">
      <c r="A698" s="46"/>
    </row>
  </sheetData>
  <pageMargins left="0.7" right="0.7" top="0.75" bottom="0.75" header="0.3" footer="0.3"/>
  <pageSetup orientation="portrait" horizontalDpi="300" verticalDpi="30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7"/>
  <sheetViews>
    <sheetView topLeftCell="A306" workbookViewId="0">
      <selection activeCell="C226" sqref="C226"/>
    </sheetView>
  </sheetViews>
  <sheetFormatPr baseColWidth="10" defaultColWidth="8.83203125" defaultRowHeight="13" x14ac:dyDescent="0.15"/>
  <cols>
    <col min="1" max="1" width="32.5" style="57" bestFit="1" customWidth="1"/>
    <col min="2" max="2" width="15.1640625" style="68" bestFit="1" customWidth="1"/>
    <col min="3" max="3" width="72.5" style="62" bestFit="1" customWidth="1"/>
    <col min="4" max="4" width="188.83203125" style="56" customWidth="1"/>
    <col min="5" max="5" width="52.33203125" style="57" customWidth="1"/>
    <col min="6" max="16384" width="8.83203125" style="57"/>
  </cols>
  <sheetData>
    <row r="1" spans="1:4" ht="15" customHeight="1" x14ac:dyDescent="0.15">
      <c r="A1" s="87" t="s">
        <v>1</v>
      </c>
      <c r="B1" s="65" t="s">
        <v>5420</v>
      </c>
      <c r="C1" s="66" t="s">
        <v>903</v>
      </c>
      <c r="D1" s="88" t="s">
        <v>15</v>
      </c>
    </row>
    <row r="2" spans="1:4" ht="24" customHeight="1" x14ac:dyDescent="0.15">
      <c r="A2" s="67" t="s">
        <v>5181</v>
      </c>
      <c r="B2" s="68" t="s">
        <v>5421</v>
      </c>
      <c r="C2" s="62" t="s">
        <v>1642</v>
      </c>
      <c r="D2" s="56" t="s">
        <v>5280</v>
      </c>
    </row>
    <row r="3" spans="1:4" ht="24" customHeight="1" x14ac:dyDescent="0.15">
      <c r="A3" s="67" t="s">
        <v>528</v>
      </c>
      <c r="B3" s="68" t="s">
        <v>5421</v>
      </c>
      <c r="C3" s="62" t="s">
        <v>5410</v>
      </c>
      <c r="D3" s="56" t="s">
        <v>5179</v>
      </c>
    </row>
    <row r="4" spans="1:4" ht="24" customHeight="1" x14ac:dyDescent="0.15">
      <c r="A4" s="67" t="s">
        <v>1086</v>
      </c>
      <c r="B4" s="68" t="s">
        <v>5421</v>
      </c>
      <c r="C4" s="62" t="s">
        <v>205</v>
      </c>
      <c r="D4" s="56" t="s">
        <v>5180</v>
      </c>
    </row>
    <row r="5" spans="1:4" ht="24" customHeight="1" x14ac:dyDescent="0.15">
      <c r="A5" s="67" t="s">
        <v>564</v>
      </c>
      <c r="B5" s="68" t="s">
        <v>5421</v>
      </c>
      <c r="C5" s="62" t="s">
        <v>1597</v>
      </c>
      <c r="D5" s="56" t="s">
        <v>1585</v>
      </c>
    </row>
    <row r="6" spans="1:4" ht="24" customHeight="1" x14ac:dyDescent="0.15">
      <c r="A6" s="67" t="s">
        <v>698</v>
      </c>
      <c r="B6" s="68" t="s">
        <v>5421</v>
      </c>
      <c r="C6" s="62" t="s">
        <v>1625</v>
      </c>
      <c r="D6" s="56" t="s">
        <v>1624</v>
      </c>
    </row>
    <row r="7" spans="1:4" ht="24" customHeight="1" x14ac:dyDescent="0.15">
      <c r="A7" s="67" t="s">
        <v>607</v>
      </c>
      <c r="B7" s="68" t="s">
        <v>5427</v>
      </c>
      <c r="C7" s="62" t="s">
        <v>1623</v>
      </c>
      <c r="D7" s="56" t="s">
        <v>1624</v>
      </c>
    </row>
    <row r="8" spans="1:4" ht="24" customHeight="1" x14ac:dyDescent="0.15">
      <c r="A8" s="67" t="s">
        <v>5182</v>
      </c>
      <c r="B8" s="68" t="s">
        <v>5428</v>
      </c>
      <c r="C8" s="62" t="s">
        <v>1643</v>
      </c>
      <c r="D8" s="56" t="s">
        <v>1583</v>
      </c>
    </row>
    <row r="9" spans="1:4" ht="15" customHeight="1" x14ac:dyDescent="0.15">
      <c r="A9" s="67" t="s">
        <v>815</v>
      </c>
      <c r="B9" s="68" t="s">
        <v>5427</v>
      </c>
      <c r="C9" s="62" t="s">
        <v>1575</v>
      </c>
      <c r="D9" s="56" t="s">
        <v>5222</v>
      </c>
    </row>
    <row r="10" spans="1:4" ht="22" customHeight="1" x14ac:dyDescent="0.15">
      <c r="A10" s="67" t="s">
        <v>816</v>
      </c>
      <c r="B10" s="69" t="s">
        <v>5427</v>
      </c>
      <c r="C10" s="62" t="s">
        <v>1630</v>
      </c>
      <c r="D10" s="62" t="s">
        <v>1570</v>
      </c>
    </row>
    <row r="11" spans="1:4" ht="24" customHeight="1" x14ac:dyDescent="0.15">
      <c r="A11" s="67" t="s">
        <v>456</v>
      </c>
      <c r="B11" s="68" t="s">
        <v>5427</v>
      </c>
      <c r="C11" s="62" t="s">
        <v>1395</v>
      </c>
      <c r="D11" s="56" t="s">
        <v>1612</v>
      </c>
    </row>
    <row r="12" spans="1:4" ht="20" customHeight="1" x14ac:dyDescent="0.15">
      <c r="A12" s="67" t="s">
        <v>817</v>
      </c>
      <c r="B12" s="68" t="s">
        <v>5427</v>
      </c>
      <c r="C12" s="62" t="s">
        <v>1395</v>
      </c>
      <c r="D12" s="56" t="s">
        <v>1612</v>
      </c>
    </row>
    <row r="13" spans="1:4" ht="24" customHeight="1" x14ac:dyDescent="0.15">
      <c r="A13" s="67" t="s">
        <v>477</v>
      </c>
      <c r="B13" s="68" t="s">
        <v>5427</v>
      </c>
      <c r="C13" s="62" t="s">
        <v>1623</v>
      </c>
      <c r="D13" s="56" t="s">
        <v>1624</v>
      </c>
    </row>
    <row r="14" spans="1:4" ht="19" customHeight="1" x14ac:dyDescent="0.15">
      <c r="A14" s="67" t="s">
        <v>628</v>
      </c>
      <c r="B14" s="68" t="s">
        <v>5428</v>
      </c>
      <c r="C14" s="62" t="s">
        <v>1643</v>
      </c>
      <c r="D14" s="56" t="s">
        <v>1583</v>
      </c>
    </row>
    <row r="15" spans="1:4" ht="15" customHeight="1" x14ac:dyDescent="0.15">
      <c r="A15" s="67" t="s">
        <v>630</v>
      </c>
      <c r="B15" s="68" t="s">
        <v>5428</v>
      </c>
      <c r="C15" s="62" t="s">
        <v>1643</v>
      </c>
      <c r="D15" s="56" t="s">
        <v>1583</v>
      </c>
    </row>
    <row r="16" spans="1:4" ht="24" customHeight="1" x14ac:dyDescent="0.15">
      <c r="A16" s="67" t="s">
        <v>1255</v>
      </c>
      <c r="B16" s="68" t="s">
        <v>5427</v>
      </c>
      <c r="C16" s="62" t="s">
        <v>1629</v>
      </c>
      <c r="D16" s="56" t="s">
        <v>5266</v>
      </c>
    </row>
    <row r="17" spans="1:5" ht="15" customHeight="1" x14ac:dyDescent="0.15">
      <c r="A17" s="67" t="s">
        <v>577</v>
      </c>
      <c r="B17" s="68" t="s">
        <v>5427</v>
      </c>
      <c r="C17" s="62" t="s">
        <v>1626</v>
      </c>
      <c r="D17" s="56" t="s">
        <v>5213</v>
      </c>
    </row>
    <row r="18" spans="1:5" ht="15" customHeight="1" x14ac:dyDescent="0.15">
      <c r="A18" s="67" t="s">
        <v>1258</v>
      </c>
      <c r="B18" s="68" t="s">
        <v>5427</v>
      </c>
      <c r="C18" s="62" t="s">
        <v>1626</v>
      </c>
      <c r="D18" s="56" t="s">
        <v>5213</v>
      </c>
    </row>
    <row r="19" spans="1:5" ht="24" customHeight="1" x14ac:dyDescent="0.15">
      <c r="A19" s="67" t="s">
        <v>1260</v>
      </c>
      <c r="B19" s="68" t="s">
        <v>5427</v>
      </c>
      <c r="C19" s="62" t="s">
        <v>332</v>
      </c>
      <c r="D19" s="56" t="s">
        <v>1605</v>
      </c>
    </row>
    <row r="20" spans="1:5" ht="15" customHeight="1" x14ac:dyDescent="0.15">
      <c r="A20" s="67" t="s">
        <v>580</v>
      </c>
      <c r="B20" s="68" t="s">
        <v>5427</v>
      </c>
      <c r="C20" s="62" t="s">
        <v>332</v>
      </c>
      <c r="D20" s="56" t="s">
        <v>1605</v>
      </c>
    </row>
    <row r="21" spans="1:5" ht="24" customHeight="1" x14ac:dyDescent="0.15">
      <c r="A21" s="67" t="s">
        <v>726</v>
      </c>
      <c r="B21" s="68" t="s">
        <v>5427</v>
      </c>
      <c r="C21" s="62" t="s">
        <v>1125</v>
      </c>
      <c r="D21" s="56" t="s">
        <v>1579</v>
      </c>
    </row>
    <row r="22" spans="1:5" ht="28" customHeight="1" x14ac:dyDescent="0.15">
      <c r="A22" s="67" t="s">
        <v>658</v>
      </c>
      <c r="B22" s="68" t="s">
        <v>5427</v>
      </c>
      <c r="C22" s="62" t="s">
        <v>5244</v>
      </c>
      <c r="D22" s="56" t="s">
        <v>5279</v>
      </c>
    </row>
    <row r="23" spans="1:5" ht="22" customHeight="1" x14ac:dyDescent="0.15">
      <c r="A23" s="67" t="s">
        <v>631</v>
      </c>
      <c r="B23" s="68" t="s">
        <v>5428</v>
      </c>
      <c r="C23" s="62" t="s">
        <v>1595</v>
      </c>
      <c r="D23" s="56" t="s">
        <v>1596</v>
      </c>
      <c r="E23" s="56"/>
    </row>
    <row r="24" spans="1:5" ht="15" customHeight="1" x14ac:dyDescent="0.15">
      <c r="A24" s="67" t="s">
        <v>1089</v>
      </c>
      <c r="B24" s="68" t="s">
        <v>5421</v>
      </c>
      <c r="C24" s="62" t="s">
        <v>1598</v>
      </c>
      <c r="D24" s="56" t="s">
        <v>1599</v>
      </c>
    </row>
    <row r="25" spans="1:5" ht="24" customHeight="1" x14ac:dyDescent="0.15">
      <c r="A25" s="67" t="s">
        <v>1091</v>
      </c>
      <c r="B25" s="69" t="s">
        <v>5421</v>
      </c>
      <c r="C25" s="62" t="s">
        <v>1630</v>
      </c>
      <c r="D25" s="56" t="s">
        <v>5187</v>
      </c>
    </row>
    <row r="26" spans="1:5" ht="19" customHeight="1" x14ac:dyDescent="0.15">
      <c r="A26" s="67" t="s">
        <v>1093</v>
      </c>
      <c r="B26" s="68" t="s">
        <v>5421</v>
      </c>
      <c r="C26" s="62" t="s">
        <v>1598</v>
      </c>
      <c r="D26" s="56" t="s">
        <v>1599</v>
      </c>
    </row>
    <row r="27" spans="1:5" ht="21" customHeight="1" x14ac:dyDescent="0.15">
      <c r="A27" s="67" t="s">
        <v>5185</v>
      </c>
      <c r="B27" s="68" t="s">
        <v>5421</v>
      </c>
      <c r="C27" s="62" t="s">
        <v>1641</v>
      </c>
      <c r="D27" s="56" t="s">
        <v>5267</v>
      </c>
    </row>
    <row r="28" spans="1:5" ht="19" customHeight="1" x14ac:dyDescent="0.15">
      <c r="A28" s="67" t="s">
        <v>1096</v>
      </c>
      <c r="B28" s="68" t="s">
        <v>5421</v>
      </c>
      <c r="C28" s="62" t="s">
        <v>1589</v>
      </c>
      <c r="D28" s="56" t="s">
        <v>1590</v>
      </c>
    </row>
    <row r="29" spans="1:5" ht="24" customHeight="1" x14ac:dyDescent="0.15">
      <c r="A29" s="67" t="s">
        <v>1098</v>
      </c>
      <c r="B29" s="68" t="s">
        <v>5427</v>
      </c>
      <c r="C29" s="62" t="s">
        <v>1568</v>
      </c>
      <c r="D29" s="56" t="s">
        <v>5260</v>
      </c>
    </row>
    <row r="30" spans="1:5" ht="15" customHeight="1" x14ac:dyDescent="0.15">
      <c r="A30" s="67" t="s">
        <v>1100</v>
      </c>
      <c r="B30" s="68" t="s">
        <v>5427</v>
      </c>
      <c r="C30" s="62" t="s">
        <v>1568</v>
      </c>
      <c r="D30" s="56" t="s">
        <v>5260</v>
      </c>
    </row>
    <row r="31" spans="1:5" ht="24" customHeight="1" x14ac:dyDescent="0.15">
      <c r="A31" s="67" t="s">
        <v>1102</v>
      </c>
      <c r="B31" s="68" t="s">
        <v>5421</v>
      </c>
      <c r="C31" s="62" t="s">
        <v>1586</v>
      </c>
      <c r="D31" s="56" t="s">
        <v>1587</v>
      </c>
    </row>
    <row r="32" spans="1:5" ht="15" customHeight="1" x14ac:dyDescent="0.15">
      <c r="A32" s="67" t="s">
        <v>1104</v>
      </c>
      <c r="B32" s="68" t="s">
        <v>5427</v>
      </c>
      <c r="C32" s="62" t="s">
        <v>1598</v>
      </c>
      <c r="D32" s="56" t="s">
        <v>1599</v>
      </c>
    </row>
    <row r="33" spans="1:4" ht="29" customHeight="1" x14ac:dyDescent="0.15">
      <c r="A33" s="67" t="s">
        <v>1106</v>
      </c>
      <c r="B33" s="68" t="s">
        <v>5427</v>
      </c>
      <c r="C33" s="62" t="s">
        <v>1586</v>
      </c>
      <c r="D33" s="56" t="s">
        <v>1587</v>
      </c>
    </row>
    <row r="34" spans="1:4" ht="24" customHeight="1" x14ac:dyDescent="0.15">
      <c r="A34" s="67" t="s">
        <v>5184</v>
      </c>
      <c r="B34" s="68" t="s">
        <v>5427</v>
      </c>
      <c r="C34" s="62" t="s">
        <v>1630</v>
      </c>
      <c r="D34" s="56" t="s">
        <v>5186</v>
      </c>
    </row>
    <row r="35" spans="1:4" ht="24" customHeight="1" x14ac:dyDescent="0.15">
      <c r="A35" s="67" t="s">
        <v>1109</v>
      </c>
      <c r="B35" s="68" t="s">
        <v>5421</v>
      </c>
      <c r="C35" s="62" t="s">
        <v>1598</v>
      </c>
      <c r="D35" s="56" t="s">
        <v>1599</v>
      </c>
    </row>
    <row r="36" spans="1:4" ht="24" customHeight="1" x14ac:dyDescent="0.15">
      <c r="A36" s="67" t="s">
        <v>1111</v>
      </c>
      <c r="B36" s="68" t="s">
        <v>5427</v>
      </c>
      <c r="C36" s="62" t="s">
        <v>1568</v>
      </c>
      <c r="D36" s="56" t="s">
        <v>5278</v>
      </c>
    </row>
    <row r="37" spans="1:4" ht="24" customHeight="1" x14ac:dyDescent="0.15">
      <c r="A37" s="67" t="s">
        <v>5183</v>
      </c>
      <c r="B37" s="68" t="s">
        <v>5427</v>
      </c>
      <c r="C37" s="62" t="s">
        <v>1598</v>
      </c>
      <c r="D37" s="56" t="s">
        <v>1599</v>
      </c>
    </row>
    <row r="38" spans="1:4" ht="15" customHeight="1" x14ac:dyDescent="0.15">
      <c r="A38" s="67" t="s">
        <v>1114</v>
      </c>
      <c r="B38" s="68" t="s">
        <v>5427</v>
      </c>
      <c r="C38" s="62" t="s">
        <v>1598</v>
      </c>
      <c r="D38" s="56" t="s">
        <v>1599</v>
      </c>
    </row>
    <row r="39" spans="1:4" ht="15" customHeight="1" x14ac:dyDescent="0.15">
      <c r="A39" s="67" t="s">
        <v>1448</v>
      </c>
      <c r="B39" s="68" t="s">
        <v>5428</v>
      </c>
      <c r="C39" s="62" t="s">
        <v>1643</v>
      </c>
      <c r="D39" s="56" t="s">
        <v>1583</v>
      </c>
    </row>
    <row r="40" spans="1:4" ht="15" customHeight="1" x14ac:dyDescent="0.15">
      <c r="A40" s="67" t="s">
        <v>1450</v>
      </c>
      <c r="B40" s="68" t="s">
        <v>5428</v>
      </c>
      <c r="C40" s="62" t="s">
        <v>1643</v>
      </c>
      <c r="D40" s="56" t="s">
        <v>1583</v>
      </c>
    </row>
    <row r="41" spans="1:4" ht="15" customHeight="1" x14ac:dyDescent="0.15">
      <c r="A41" s="67" t="s">
        <v>1452</v>
      </c>
      <c r="B41" s="68" t="s">
        <v>5428</v>
      </c>
      <c r="C41" s="62" t="s">
        <v>1643</v>
      </c>
      <c r="D41" s="56" t="s">
        <v>1583</v>
      </c>
    </row>
    <row r="42" spans="1:4" ht="15" customHeight="1" x14ac:dyDescent="0.15">
      <c r="A42" s="67" t="s">
        <v>802</v>
      </c>
      <c r="B42" s="68" t="s">
        <v>5428</v>
      </c>
      <c r="C42" s="62" t="s">
        <v>1643</v>
      </c>
      <c r="D42" s="56" t="s">
        <v>1583</v>
      </c>
    </row>
    <row r="43" spans="1:4" ht="15" customHeight="1" x14ac:dyDescent="0.15">
      <c r="A43" s="67" t="s">
        <v>803</v>
      </c>
      <c r="B43" s="68" t="s">
        <v>5428</v>
      </c>
      <c r="C43" s="62" t="s">
        <v>1643</v>
      </c>
      <c r="D43" s="56" t="s">
        <v>1583</v>
      </c>
    </row>
    <row r="44" spans="1:4" ht="24" customHeight="1" x14ac:dyDescent="0.15">
      <c r="A44" s="67" t="s">
        <v>1456</v>
      </c>
      <c r="B44" s="68" t="s">
        <v>5428</v>
      </c>
      <c r="C44" s="62" t="s">
        <v>1643</v>
      </c>
      <c r="D44" s="56" t="s">
        <v>1583</v>
      </c>
    </row>
    <row r="45" spans="1:4" ht="15" customHeight="1" x14ac:dyDescent="0.15">
      <c r="A45" s="67" t="s">
        <v>1458</v>
      </c>
      <c r="B45" s="68" t="s">
        <v>5428</v>
      </c>
      <c r="C45" s="62" t="s">
        <v>1643</v>
      </c>
      <c r="D45" s="56" t="s">
        <v>1583</v>
      </c>
    </row>
    <row r="46" spans="1:4" ht="15" customHeight="1" x14ac:dyDescent="0.15">
      <c r="A46" s="67" t="s">
        <v>804</v>
      </c>
      <c r="B46" s="68" t="s">
        <v>5428</v>
      </c>
      <c r="C46" s="62" t="s">
        <v>1643</v>
      </c>
      <c r="D46" s="56" t="s">
        <v>1583</v>
      </c>
    </row>
    <row r="47" spans="1:4" ht="24" customHeight="1" x14ac:dyDescent="0.15">
      <c r="A47" s="67" t="s">
        <v>1461</v>
      </c>
      <c r="B47" s="68" t="s">
        <v>5428</v>
      </c>
      <c r="C47" s="62" t="s">
        <v>1643</v>
      </c>
      <c r="D47" s="56" t="s">
        <v>1583</v>
      </c>
    </row>
    <row r="48" spans="1:4" ht="15" customHeight="1" x14ac:dyDescent="0.15">
      <c r="A48" s="67" t="s">
        <v>5188</v>
      </c>
      <c r="B48" s="68" t="s">
        <v>5428</v>
      </c>
      <c r="C48" s="62" t="s">
        <v>1643</v>
      </c>
      <c r="D48" s="56" t="s">
        <v>1583</v>
      </c>
    </row>
    <row r="49" spans="1:4" ht="15" customHeight="1" x14ac:dyDescent="0.15">
      <c r="A49" s="67" t="s">
        <v>1464</v>
      </c>
      <c r="B49" s="68" t="s">
        <v>5428</v>
      </c>
      <c r="C49" s="62" t="s">
        <v>1643</v>
      </c>
      <c r="D49" s="56" t="s">
        <v>1583</v>
      </c>
    </row>
    <row r="50" spans="1:4" ht="15" customHeight="1" x14ac:dyDescent="0.15">
      <c r="A50" s="67" t="s">
        <v>5189</v>
      </c>
      <c r="B50" s="68" t="s">
        <v>5428</v>
      </c>
      <c r="C50" s="62" t="s">
        <v>1643</v>
      </c>
      <c r="D50" s="56" t="s">
        <v>1583</v>
      </c>
    </row>
    <row r="51" spans="1:4" ht="24" customHeight="1" x14ac:dyDescent="0.15">
      <c r="A51" s="67" t="s">
        <v>1467</v>
      </c>
      <c r="B51" s="68" t="s">
        <v>5428</v>
      </c>
      <c r="C51" s="62" t="s">
        <v>1643</v>
      </c>
      <c r="D51" s="56" t="s">
        <v>1583</v>
      </c>
    </row>
    <row r="52" spans="1:4" ht="15" customHeight="1" x14ac:dyDescent="0.15">
      <c r="A52" s="67" t="s">
        <v>1469</v>
      </c>
      <c r="B52" s="68" t="s">
        <v>5428</v>
      </c>
      <c r="C52" s="62" t="s">
        <v>1643</v>
      </c>
      <c r="D52" s="56" t="s">
        <v>1583</v>
      </c>
    </row>
    <row r="53" spans="1:4" ht="15" customHeight="1" x14ac:dyDescent="0.15">
      <c r="A53" s="67" t="s">
        <v>1471</v>
      </c>
      <c r="B53" s="68" t="s">
        <v>5428</v>
      </c>
      <c r="C53" s="62" t="s">
        <v>1643</v>
      </c>
      <c r="D53" s="56" t="s">
        <v>1583</v>
      </c>
    </row>
    <row r="54" spans="1:4" ht="15" customHeight="1" x14ac:dyDescent="0.15">
      <c r="A54" s="67" t="s">
        <v>5190</v>
      </c>
      <c r="B54" s="68" t="s">
        <v>5428</v>
      </c>
      <c r="C54" s="62" t="s">
        <v>1643</v>
      </c>
      <c r="D54" s="56" t="s">
        <v>1583</v>
      </c>
    </row>
    <row r="55" spans="1:4" ht="15" customHeight="1" x14ac:dyDescent="0.15">
      <c r="A55" s="67" t="s">
        <v>5192</v>
      </c>
      <c r="B55" s="68" t="s">
        <v>5428</v>
      </c>
      <c r="C55" s="62" t="s">
        <v>1643</v>
      </c>
      <c r="D55" s="56" t="s">
        <v>1583</v>
      </c>
    </row>
    <row r="56" spans="1:4" ht="24" customHeight="1" x14ac:dyDescent="0.15">
      <c r="A56" s="67" t="s">
        <v>397</v>
      </c>
      <c r="B56" s="68" t="s">
        <v>5427</v>
      </c>
      <c r="C56" s="62" t="s">
        <v>1640</v>
      </c>
      <c r="D56" s="56" t="s">
        <v>1614</v>
      </c>
    </row>
    <row r="57" spans="1:4" ht="15" customHeight="1" x14ac:dyDescent="0.15">
      <c r="A57" s="67" t="s">
        <v>693</v>
      </c>
      <c r="B57" s="68" t="s">
        <v>5427</v>
      </c>
      <c r="C57" s="62" t="s">
        <v>1635</v>
      </c>
      <c r="D57" s="56" t="s">
        <v>5220</v>
      </c>
    </row>
    <row r="58" spans="1:4" ht="15" customHeight="1" x14ac:dyDescent="0.15">
      <c r="A58" s="67" t="s">
        <v>694</v>
      </c>
      <c r="B58" s="68" t="s">
        <v>5427</v>
      </c>
      <c r="C58" s="62" t="s">
        <v>1623</v>
      </c>
      <c r="D58" s="56" t="s">
        <v>1624</v>
      </c>
    </row>
    <row r="59" spans="1:4" ht="20" customHeight="1" x14ac:dyDescent="0.15">
      <c r="A59" s="67" t="s">
        <v>695</v>
      </c>
      <c r="B59" s="68" t="s">
        <v>5427</v>
      </c>
      <c r="C59" s="62" t="s">
        <v>1395</v>
      </c>
      <c r="D59" s="56" t="s">
        <v>1612</v>
      </c>
    </row>
    <row r="60" spans="1:4" ht="24" customHeight="1" x14ac:dyDescent="0.15">
      <c r="A60" s="70" t="s">
        <v>5191</v>
      </c>
      <c r="B60" s="68" t="s">
        <v>5428</v>
      </c>
      <c r="C60" s="62" t="s">
        <v>1595</v>
      </c>
      <c r="D60" s="56" t="s">
        <v>1596</v>
      </c>
    </row>
    <row r="61" spans="1:4" ht="15" customHeight="1" x14ac:dyDescent="0.15">
      <c r="A61" s="70" t="s">
        <v>5193</v>
      </c>
      <c r="B61" s="68" t="s">
        <v>5428</v>
      </c>
      <c r="C61" s="62" t="s">
        <v>1595</v>
      </c>
      <c r="D61" s="56" t="s">
        <v>1596</v>
      </c>
    </row>
    <row r="62" spans="1:4" ht="24" customHeight="1" x14ac:dyDescent="0.15">
      <c r="A62" s="70" t="s">
        <v>5194</v>
      </c>
      <c r="B62" s="68" t="s">
        <v>5428</v>
      </c>
      <c r="C62" s="62" t="s">
        <v>1595</v>
      </c>
      <c r="D62" s="56" t="s">
        <v>1596</v>
      </c>
    </row>
    <row r="63" spans="1:4" ht="15" customHeight="1" x14ac:dyDescent="0.15">
      <c r="A63" s="70" t="s">
        <v>1478</v>
      </c>
      <c r="B63" s="68" t="s">
        <v>5428</v>
      </c>
      <c r="C63" s="62" t="s">
        <v>1595</v>
      </c>
      <c r="D63" s="56" t="s">
        <v>1596</v>
      </c>
    </row>
    <row r="64" spans="1:4" ht="15" customHeight="1" x14ac:dyDescent="0.15">
      <c r="A64" s="70" t="s">
        <v>818</v>
      </c>
      <c r="B64" s="68" t="s">
        <v>5427</v>
      </c>
      <c r="C64" s="62" t="s">
        <v>1621</v>
      </c>
      <c r="D64" s="56" t="s">
        <v>5275</v>
      </c>
    </row>
    <row r="65" spans="1:6" ht="15" customHeight="1" x14ac:dyDescent="0.15">
      <c r="A65" s="70" t="s">
        <v>1537</v>
      </c>
      <c r="B65" s="68" t="s">
        <v>5427</v>
      </c>
      <c r="C65" s="62" t="s">
        <v>1606</v>
      </c>
      <c r="D65" s="58" t="s">
        <v>5274</v>
      </c>
    </row>
    <row r="66" spans="1:6" ht="15" customHeight="1" x14ac:dyDescent="0.15">
      <c r="A66" s="70" t="s">
        <v>819</v>
      </c>
      <c r="B66" s="68" t="s">
        <v>5427</v>
      </c>
      <c r="C66" s="62" t="s">
        <v>1638</v>
      </c>
      <c r="D66" s="56" t="s">
        <v>5223</v>
      </c>
    </row>
    <row r="67" spans="1:6" ht="15" customHeight="1" x14ac:dyDescent="0.15">
      <c r="A67" s="70" t="s">
        <v>699</v>
      </c>
      <c r="B67" s="68" t="s">
        <v>5427</v>
      </c>
      <c r="C67" s="62" t="s">
        <v>1395</v>
      </c>
      <c r="D67" s="56" t="s">
        <v>1612</v>
      </c>
    </row>
    <row r="68" spans="1:6" ht="15" customHeight="1" x14ac:dyDescent="0.15">
      <c r="A68" s="70" t="s">
        <v>535</v>
      </c>
      <c r="B68" s="68" t="s">
        <v>5427</v>
      </c>
      <c r="C68" s="62" t="s">
        <v>1395</v>
      </c>
      <c r="D68" s="56" t="s">
        <v>1612</v>
      </c>
    </row>
    <row r="69" spans="1:6" ht="15" customHeight="1" x14ac:dyDescent="0.15">
      <c r="A69" s="70" t="s">
        <v>622</v>
      </c>
      <c r="B69" s="68" t="s">
        <v>5421</v>
      </c>
      <c r="C69" s="62" t="s">
        <v>1623</v>
      </c>
      <c r="D69" s="56" t="s">
        <v>1624</v>
      </c>
    </row>
    <row r="70" spans="1:6" ht="24" customHeight="1" x14ac:dyDescent="0.15">
      <c r="A70" s="70" t="s">
        <v>487</v>
      </c>
      <c r="B70" s="68" t="s">
        <v>5421</v>
      </c>
      <c r="C70" s="62" t="s">
        <v>1395</v>
      </c>
      <c r="D70" s="56" t="s">
        <v>1612</v>
      </c>
    </row>
    <row r="71" spans="1:6" ht="15" customHeight="1" x14ac:dyDescent="0.15">
      <c r="A71" s="70" t="s">
        <v>494</v>
      </c>
      <c r="B71" s="68" t="s">
        <v>5421</v>
      </c>
      <c r="C71" s="62" t="s">
        <v>1626</v>
      </c>
      <c r="D71" s="56" t="s">
        <v>5213</v>
      </c>
    </row>
    <row r="72" spans="1:6" ht="15" customHeight="1" x14ac:dyDescent="0.15">
      <c r="A72" s="70" t="s">
        <v>1265</v>
      </c>
      <c r="B72" s="68" t="s">
        <v>5427</v>
      </c>
      <c r="C72" s="62" t="s">
        <v>1646</v>
      </c>
      <c r="D72" s="59" t="s">
        <v>5276</v>
      </c>
    </row>
    <row r="73" spans="1:6" ht="15" customHeight="1" x14ac:dyDescent="0.15">
      <c r="A73" s="70" t="s">
        <v>1267</v>
      </c>
      <c r="B73" s="68" t="s">
        <v>5428</v>
      </c>
      <c r="C73" s="62" t="s">
        <v>5245</v>
      </c>
      <c r="D73" s="56" t="s">
        <v>5250</v>
      </c>
    </row>
    <row r="74" spans="1:6" ht="15" customHeight="1" x14ac:dyDescent="0.15">
      <c r="A74" s="70" t="s">
        <v>728</v>
      </c>
      <c r="B74" s="68" t="s">
        <v>5421</v>
      </c>
      <c r="C74" s="62" t="s">
        <v>205</v>
      </c>
      <c r="D74" s="56" t="s">
        <v>1608</v>
      </c>
    </row>
    <row r="75" spans="1:6" ht="15" customHeight="1" x14ac:dyDescent="0.15">
      <c r="A75" s="70" t="s">
        <v>1270</v>
      </c>
      <c r="B75" s="68" t="s">
        <v>5428</v>
      </c>
      <c r="C75" s="62" t="s">
        <v>5195</v>
      </c>
      <c r="D75" s="56" t="s">
        <v>5277</v>
      </c>
    </row>
    <row r="76" spans="1:6" ht="15" customHeight="1" x14ac:dyDescent="0.15">
      <c r="A76" s="70" t="s">
        <v>1272</v>
      </c>
      <c r="B76" s="68" t="s">
        <v>5428</v>
      </c>
      <c r="C76" s="62" t="s">
        <v>205</v>
      </c>
      <c r="D76" s="56" t="s">
        <v>1608</v>
      </c>
    </row>
    <row r="77" spans="1:6" ht="15" customHeight="1" x14ac:dyDescent="0.15">
      <c r="A77" s="70" t="s">
        <v>1274</v>
      </c>
      <c r="B77" s="68" t="s">
        <v>5421</v>
      </c>
      <c r="C77" s="62" t="s">
        <v>1125</v>
      </c>
      <c r="D77" s="56" t="s">
        <v>1579</v>
      </c>
    </row>
    <row r="78" spans="1:6" ht="24" customHeight="1" x14ac:dyDescent="0.15">
      <c r="A78" s="70" t="s">
        <v>730</v>
      </c>
      <c r="B78" s="68" t="s">
        <v>5428</v>
      </c>
      <c r="C78" s="62" t="s">
        <v>1125</v>
      </c>
      <c r="D78" s="56" t="s">
        <v>1579</v>
      </c>
    </row>
    <row r="79" spans="1:6" ht="18" customHeight="1" x14ac:dyDescent="0.15">
      <c r="A79" s="70" t="s">
        <v>731</v>
      </c>
      <c r="B79" s="68" t="s">
        <v>5427</v>
      </c>
      <c r="C79" s="62" t="s">
        <v>1713</v>
      </c>
      <c r="D79" s="59" t="s">
        <v>5253</v>
      </c>
    </row>
    <row r="80" spans="1:6" ht="24" customHeight="1" x14ac:dyDescent="0.15">
      <c r="A80" s="70" t="s">
        <v>1278</v>
      </c>
      <c r="B80" s="68" t="s">
        <v>5428</v>
      </c>
      <c r="C80" s="62" t="s">
        <v>1580</v>
      </c>
      <c r="D80" s="56" t="s">
        <v>1579</v>
      </c>
      <c r="E80" s="51"/>
      <c r="F80" s="51"/>
    </row>
    <row r="81" spans="1:4" ht="24" customHeight="1" x14ac:dyDescent="0.15">
      <c r="A81" s="70" t="s">
        <v>1280</v>
      </c>
      <c r="B81" s="68" t="s">
        <v>5421</v>
      </c>
      <c r="C81" s="62" t="s">
        <v>205</v>
      </c>
      <c r="D81" s="56" t="s">
        <v>1608</v>
      </c>
    </row>
    <row r="82" spans="1:4" ht="15" customHeight="1" x14ac:dyDescent="0.15">
      <c r="A82" s="70" t="s">
        <v>1282</v>
      </c>
      <c r="B82" s="68" t="s">
        <v>5427</v>
      </c>
      <c r="C82" s="62" t="s">
        <v>210</v>
      </c>
      <c r="D82" s="59" t="s">
        <v>5243</v>
      </c>
    </row>
    <row r="83" spans="1:4" ht="15" customHeight="1" x14ac:dyDescent="0.15">
      <c r="A83" s="70" t="s">
        <v>584</v>
      </c>
      <c r="B83" s="68" t="s">
        <v>5421</v>
      </c>
      <c r="C83" s="62" t="s">
        <v>1125</v>
      </c>
      <c r="D83" s="56" t="s">
        <v>1579</v>
      </c>
    </row>
    <row r="84" spans="1:4" ht="15" customHeight="1" x14ac:dyDescent="0.15">
      <c r="A84" s="70" t="s">
        <v>820</v>
      </c>
      <c r="B84" s="68" t="s">
        <v>5427</v>
      </c>
      <c r="C84" s="62" t="s">
        <v>5235</v>
      </c>
      <c r="D84" s="56" t="s">
        <v>5238</v>
      </c>
    </row>
    <row r="85" spans="1:4" ht="19" customHeight="1" x14ac:dyDescent="0.15">
      <c r="A85" s="70" t="s">
        <v>821</v>
      </c>
      <c r="B85" s="69" t="s">
        <v>5429</v>
      </c>
      <c r="C85" s="62" t="s">
        <v>5422</v>
      </c>
      <c r="D85" s="56" t="s">
        <v>5237</v>
      </c>
    </row>
    <row r="86" spans="1:4" ht="15" customHeight="1" x14ac:dyDescent="0.15">
      <c r="A86" s="70" t="s">
        <v>373</v>
      </c>
      <c r="B86" s="68" t="s">
        <v>5421</v>
      </c>
      <c r="C86" s="62" t="s">
        <v>1604</v>
      </c>
      <c r="D86" s="56" t="s">
        <v>1603</v>
      </c>
    </row>
    <row r="87" spans="1:4" ht="15" customHeight="1" x14ac:dyDescent="0.15">
      <c r="A87" s="70" t="s">
        <v>1286</v>
      </c>
      <c r="B87" s="68" t="s">
        <v>5421</v>
      </c>
      <c r="C87" s="62" t="s">
        <v>1626</v>
      </c>
      <c r="D87" s="56" t="s">
        <v>5213</v>
      </c>
    </row>
    <row r="88" spans="1:4" ht="15" customHeight="1" x14ac:dyDescent="0.15">
      <c r="A88" s="70" t="s">
        <v>736</v>
      </c>
      <c r="B88" s="69" t="s">
        <v>5421</v>
      </c>
      <c r="C88" s="62" t="s">
        <v>1630</v>
      </c>
      <c r="D88" s="62" t="s">
        <v>1571</v>
      </c>
    </row>
    <row r="89" spans="1:4" ht="15" customHeight="1" x14ac:dyDescent="0.15">
      <c r="A89" s="70" t="s">
        <v>1289</v>
      </c>
      <c r="B89" s="69" t="s">
        <v>5421</v>
      </c>
      <c r="C89" s="62" t="s">
        <v>1630</v>
      </c>
      <c r="D89" s="62" t="s">
        <v>1571</v>
      </c>
    </row>
    <row r="90" spans="1:4" ht="15" customHeight="1" x14ac:dyDescent="0.15">
      <c r="A90" s="70" t="s">
        <v>1291</v>
      </c>
      <c r="B90" s="69" t="s">
        <v>5421</v>
      </c>
      <c r="C90" s="62" t="s">
        <v>1630</v>
      </c>
      <c r="D90" s="62" t="s">
        <v>1571</v>
      </c>
    </row>
    <row r="91" spans="1:4" ht="15" customHeight="1" x14ac:dyDescent="0.15">
      <c r="A91" s="70" t="s">
        <v>1293</v>
      </c>
      <c r="B91" s="68" t="s">
        <v>5421</v>
      </c>
      <c r="C91" s="62" t="s">
        <v>1675</v>
      </c>
      <c r="D91" s="60" t="s">
        <v>5242</v>
      </c>
    </row>
    <row r="92" spans="1:4" ht="24" customHeight="1" x14ac:dyDescent="0.15">
      <c r="A92" s="70" t="s">
        <v>1295</v>
      </c>
      <c r="B92" s="69" t="s">
        <v>5421</v>
      </c>
      <c r="C92" s="62" t="s">
        <v>1630</v>
      </c>
      <c r="D92" s="62" t="s">
        <v>1571</v>
      </c>
    </row>
    <row r="93" spans="1:4" ht="20" customHeight="1" x14ac:dyDescent="0.15">
      <c r="A93" s="70" t="s">
        <v>483</v>
      </c>
      <c r="B93" s="68" t="s">
        <v>5427</v>
      </c>
      <c r="C93" s="62" t="s">
        <v>5236</v>
      </c>
      <c r="D93" s="56" t="s">
        <v>5237</v>
      </c>
    </row>
    <row r="94" spans="1:4" ht="15" customHeight="1" x14ac:dyDescent="0.15">
      <c r="A94" s="70" t="s">
        <v>822</v>
      </c>
      <c r="B94" s="68" t="s">
        <v>5427</v>
      </c>
      <c r="C94" s="62" t="s">
        <v>5236</v>
      </c>
      <c r="D94" s="56" t="s">
        <v>5237</v>
      </c>
    </row>
    <row r="95" spans="1:4" ht="21" customHeight="1" x14ac:dyDescent="0.15">
      <c r="A95" s="70" t="s">
        <v>1480</v>
      </c>
      <c r="B95" s="68" t="s">
        <v>5428</v>
      </c>
      <c r="C95" s="62" t="s">
        <v>1593</v>
      </c>
      <c r="D95" s="56" t="s">
        <v>5239</v>
      </c>
    </row>
    <row r="96" spans="1:4" ht="24" customHeight="1" x14ac:dyDescent="0.15">
      <c r="A96" s="70" t="s">
        <v>1482</v>
      </c>
      <c r="B96" s="68" t="s">
        <v>5428</v>
      </c>
      <c r="C96" s="62" t="s">
        <v>1593</v>
      </c>
      <c r="D96" s="56" t="s">
        <v>5239</v>
      </c>
    </row>
    <row r="97" spans="1:4" ht="24" customHeight="1" x14ac:dyDescent="0.15">
      <c r="A97" s="70" t="s">
        <v>1484</v>
      </c>
      <c r="B97" s="68" t="s">
        <v>5428</v>
      </c>
      <c r="C97" s="62" t="s">
        <v>1593</v>
      </c>
      <c r="D97" s="56" t="s">
        <v>5239</v>
      </c>
    </row>
    <row r="98" spans="1:4" ht="19" customHeight="1" x14ac:dyDescent="0.15">
      <c r="A98" s="70" t="s">
        <v>1486</v>
      </c>
      <c r="B98" s="68" t="s">
        <v>5428</v>
      </c>
      <c r="C98" s="62" t="s">
        <v>1593</v>
      </c>
      <c r="D98" s="56" t="s">
        <v>5239</v>
      </c>
    </row>
    <row r="99" spans="1:4" ht="24" customHeight="1" x14ac:dyDescent="0.15">
      <c r="A99" s="70" t="s">
        <v>1488</v>
      </c>
      <c r="B99" s="68" t="s">
        <v>5428</v>
      </c>
      <c r="C99" s="62" t="s">
        <v>1593</v>
      </c>
      <c r="D99" s="56" t="s">
        <v>5239</v>
      </c>
    </row>
    <row r="100" spans="1:4" ht="24" customHeight="1" x14ac:dyDescent="0.15">
      <c r="A100" s="70" t="s">
        <v>700</v>
      </c>
      <c r="B100" s="68" t="s">
        <v>5421</v>
      </c>
      <c r="C100" s="62" t="s">
        <v>1395</v>
      </c>
      <c r="D100" s="56" t="s">
        <v>1612</v>
      </c>
    </row>
    <row r="101" spans="1:4" ht="15" customHeight="1" x14ac:dyDescent="0.15">
      <c r="A101" s="70" t="s">
        <v>501</v>
      </c>
      <c r="B101" s="68" t="s">
        <v>5427</v>
      </c>
      <c r="C101" s="62" t="s">
        <v>1623</v>
      </c>
      <c r="D101" s="56" t="s">
        <v>1624</v>
      </c>
    </row>
    <row r="102" spans="1:4" ht="24" customHeight="1" x14ac:dyDescent="0.15">
      <c r="A102" s="70" t="s">
        <v>823</v>
      </c>
      <c r="B102" s="68" t="s">
        <v>5427</v>
      </c>
      <c r="C102" s="62" t="s">
        <v>1568</v>
      </c>
      <c r="D102" s="56" t="s">
        <v>5260</v>
      </c>
    </row>
    <row r="103" spans="1:4" ht="24" customHeight="1" x14ac:dyDescent="0.15">
      <c r="A103" s="70" t="s">
        <v>1117</v>
      </c>
      <c r="B103" s="68" t="s">
        <v>5427</v>
      </c>
      <c r="C103" s="62" t="s">
        <v>1568</v>
      </c>
      <c r="D103" s="56" t="s">
        <v>5260</v>
      </c>
    </row>
    <row r="104" spans="1:4" ht="15" customHeight="1" x14ac:dyDescent="0.15">
      <c r="A104" s="70" t="s">
        <v>1119</v>
      </c>
      <c r="B104" s="68" t="s">
        <v>5427</v>
      </c>
      <c r="C104" s="62" t="s">
        <v>1598</v>
      </c>
      <c r="D104" s="56" t="s">
        <v>1599</v>
      </c>
    </row>
    <row r="105" spans="1:4" ht="15" customHeight="1" x14ac:dyDescent="0.15">
      <c r="A105" s="70" t="s">
        <v>1121</v>
      </c>
      <c r="B105" s="69" t="s">
        <v>5427</v>
      </c>
      <c r="C105" s="62" t="s">
        <v>5196</v>
      </c>
      <c r="D105" s="56" t="s">
        <v>1599</v>
      </c>
    </row>
    <row r="106" spans="1:4" ht="15" customHeight="1" x14ac:dyDescent="0.15">
      <c r="A106" s="70" t="s">
        <v>1123</v>
      </c>
      <c r="B106" s="68" t="s">
        <v>5427</v>
      </c>
      <c r="C106" s="62" t="s">
        <v>1568</v>
      </c>
      <c r="D106" s="56" t="s">
        <v>5260</v>
      </c>
    </row>
    <row r="107" spans="1:4" ht="15" customHeight="1" x14ac:dyDescent="0.15">
      <c r="A107" s="70" t="s">
        <v>1126</v>
      </c>
      <c r="B107" s="69" t="s">
        <v>5427</v>
      </c>
      <c r="C107" s="62" t="s">
        <v>5196</v>
      </c>
      <c r="D107" s="56" t="s">
        <v>1599</v>
      </c>
    </row>
    <row r="108" spans="1:4" ht="24" customHeight="1" x14ac:dyDescent="0.15">
      <c r="A108" s="70" t="s">
        <v>1128</v>
      </c>
      <c r="B108" s="69" t="s">
        <v>5427</v>
      </c>
      <c r="C108" s="62" t="s">
        <v>5196</v>
      </c>
      <c r="D108" s="56" t="s">
        <v>1599</v>
      </c>
    </row>
    <row r="109" spans="1:4" ht="24" customHeight="1" x14ac:dyDescent="0.15">
      <c r="A109" s="70" t="s">
        <v>1130</v>
      </c>
      <c r="B109" s="68" t="s">
        <v>5427</v>
      </c>
      <c r="C109" s="62" t="s">
        <v>1598</v>
      </c>
      <c r="D109" s="56" t="s">
        <v>1599</v>
      </c>
    </row>
    <row r="110" spans="1:4" ht="25" customHeight="1" x14ac:dyDescent="0.15">
      <c r="A110" s="70" t="s">
        <v>1132</v>
      </c>
      <c r="B110" s="68" t="s">
        <v>5427</v>
      </c>
      <c r="C110" s="62" t="s">
        <v>1598</v>
      </c>
      <c r="D110" s="56" t="s">
        <v>1599</v>
      </c>
    </row>
    <row r="111" spans="1:4" ht="15" customHeight="1" x14ac:dyDescent="0.15">
      <c r="A111" s="70" t="s">
        <v>1134</v>
      </c>
      <c r="B111" s="68" t="s">
        <v>5427</v>
      </c>
      <c r="C111" s="62" t="s">
        <v>1598</v>
      </c>
      <c r="D111" s="56" t="s">
        <v>1599</v>
      </c>
    </row>
    <row r="112" spans="1:4" ht="24" customHeight="1" x14ac:dyDescent="0.15">
      <c r="A112" s="70" t="s">
        <v>675</v>
      </c>
      <c r="B112" s="68" t="s">
        <v>5427</v>
      </c>
      <c r="C112" s="62" t="s">
        <v>1598</v>
      </c>
      <c r="D112" s="56" t="s">
        <v>1599</v>
      </c>
    </row>
    <row r="113" spans="1:4" ht="15" customHeight="1" x14ac:dyDescent="0.15">
      <c r="A113" s="70" t="s">
        <v>472</v>
      </c>
      <c r="B113" s="68" t="s">
        <v>5421</v>
      </c>
      <c r="C113" s="62" t="s">
        <v>1395</v>
      </c>
      <c r="D113" s="56" t="s">
        <v>1612</v>
      </c>
    </row>
    <row r="114" spans="1:4" ht="15" customHeight="1" x14ac:dyDescent="0.15">
      <c r="A114" s="70" t="s">
        <v>846</v>
      </c>
      <c r="B114" s="68" t="s">
        <v>5427</v>
      </c>
      <c r="C114" s="62" t="s">
        <v>1598</v>
      </c>
      <c r="D114" s="56" t="s">
        <v>1599</v>
      </c>
    </row>
    <row r="115" spans="1:4" ht="24" customHeight="1" x14ac:dyDescent="0.15">
      <c r="A115" s="70" t="s">
        <v>387</v>
      </c>
      <c r="B115" s="68" t="s">
        <v>5427</v>
      </c>
      <c r="C115" s="62" t="s">
        <v>1568</v>
      </c>
      <c r="D115" s="56" t="s">
        <v>1569</v>
      </c>
    </row>
    <row r="116" spans="1:4" ht="15" customHeight="1" x14ac:dyDescent="0.15">
      <c r="A116" s="70" t="s">
        <v>676</v>
      </c>
      <c r="B116" s="68" t="s">
        <v>5427</v>
      </c>
      <c r="C116" s="62" t="s">
        <v>1598</v>
      </c>
      <c r="D116" s="56" t="s">
        <v>1599</v>
      </c>
    </row>
    <row r="117" spans="1:4" ht="24" customHeight="1" x14ac:dyDescent="0.15">
      <c r="A117" s="70" t="s">
        <v>677</v>
      </c>
      <c r="B117" s="68" t="s">
        <v>5427</v>
      </c>
      <c r="C117" s="62" t="s">
        <v>1598</v>
      </c>
      <c r="D117" s="56" t="s">
        <v>1599</v>
      </c>
    </row>
    <row r="118" spans="1:4" ht="24" customHeight="1" x14ac:dyDescent="0.15">
      <c r="A118" s="70" t="s">
        <v>498</v>
      </c>
      <c r="B118" s="68" t="s">
        <v>5427</v>
      </c>
      <c r="C118" s="62" t="s">
        <v>1395</v>
      </c>
      <c r="D118" s="56" t="s">
        <v>1612</v>
      </c>
    </row>
    <row r="119" spans="1:4" ht="20" customHeight="1" x14ac:dyDescent="0.15">
      <c r="A119" s="70" t="s">
        <v>1181</v>
      </c>
      <c r="B119" s="68" t="s">
        <v>5427</v>
      </c>
      <c r="C119" s="62" t="s">
        <v>1633</v>
      </c>
      <c r="D119" s="56" t="s">
        <v>1634</v>
      </c>
    </row>
    <row r="120" spans="1:4" ht="24" customHeight="1" x14ac:dyDescent="0.15">
      <c r="A120" s="70" t="s">
        <v>655</v>
      </c>
      <c r="B120" s="68" t="s">
        <v>5427</v>
      </c>
      <c r="C120" s="62" t="s">
        <v>1125</v>
      </c>
      <c r="D120" s="56" t="s">
        <v>1579</v>
      </c>
    </row>
    <row r="121" spans="1:4" ht="24" customHeight="1" x14ac:dyDescent="0.15">
      <c r="A121" s="70" t="s">
        <v>398</v>
      </c>
      <c r="B121" s="68" t="s">
        <v>5428</v>
      </c>
      <c r="C121" s="62" t="s">
        <v>1643</v>
      </c>
      <c r="D121" s="56" t="s">
        <v>1583</v>
      </c>
    </row>
    <row r="122" spans="1:4" ht="15" customHeight="1" x14ac:dyDescent="0.15">
      <c r="A122" s="70" t="s">
        <v>437</v>
      </c>
      <c r="B122" s="68" t="s">
        <v>5428</v>
      </c>
      <c r="C122" s="62" t="s">
        <v>1643</v>
      </c>
      <c r="D122" s="56" t="s">
        <v>1583</v>
      </c>
    </row>
    <row r="123" spans="1:4" ht="24" customHeight="1" x14ac:dyDescent="0.15">
      <c r="A123" s="70" t="s">
        <v>1297</v>
      </c>
      <c r="B123" s="68" t="s">
        <v>5427</v>
      </c>
      <c r="C123" s="62" t="s">
        <v>332</v>
      </c>
      <c r="D123" s="56" t="s">
        <v>5247</v>
      </c>
    </row>
    <row r="124" spans="1:4" ht="15" customHeight="1" x14ac:dyDescent="0.15">
      <c r="A124" s="70" t="s">
        <v>742</v>
      </c>
      <c r="B124" s="68" t="s">
        <v>5428</v>
      </c>
      <c r="C124" s="62" t="s">
        <v>5240</v>
      </c>
      <c r="D124" s="56" t="s">
        <v>5241</v>
      </c>
    </row>
    <row r="125" spans="1:4" ht="15" customHeight="1" x14ac:dyDescent="0.15">
      <c r="A125" s="70" t="s">
        <v>1300</v>
      </c>
      <c r="B125" s="68" t="s">
        <v>5428</v>
      </c>
      <c r="C125" s="62" t="s">
        <v>5423</v>
      </c>
      <c r="D125" s="56" t="s">
        <v>1579</v>
      </c>
    </row>
    <row r="126" spans="1:4" ht="15" customHeight="1" x14ac:dyDescent="0.15">
      <c r="A126" s="70" t="s">
        <v>512</v>
      </c>
      <c r="B126" s="68" t="s">
        <v>5421</v>
      </c>
      <c r="C126" s="62" t="s">
        <v>1395</v>
      </c>
      <c r="D126" s="56" t="s">
        <v>1612</v>
      </c>
    </row>
    <row r="127" spans="1:4" ht="15" customHeight="1" x14ac:dyDescent="0.15">
      <c r="A127" s="70" t="s">
        <v>513</v>
      </c>
      <c r="B127" s="68" t="s">
        <v>5421</v>
      </c>
      <c r="C127" s="62" t="s">
        <v>1395</v>
      </c>
      <c r="D127" s="56" t="s">
        <v>1612</v>
      </c>
    </row>
    <row r="128" spans="1:4" ht="24" customHeight="1" x14ac:dyDescent="0.15">
      <c r="A128" s="70" t="s">
        <v>807</v>
      </c>
      <c r="B128" s="68" t="s">
        <v>5428</v>
      </c>
      <c r="C128" s="62" t="s">
        <v>1395</v>
      </c>
      <c r="D128" s="56" t="s">
        <v>1612</v>
      </c>
    </row>
    <row r="129" spans="1:4" ht="24" customHeight="1" x14ac:dyDescent="0.15">
      <c r="A129" s="70" t="s">
        <v>808</v>
      </c>
      <c r="B129" s="68" t="s">
        <v>5428</v>
      </c>
      <c r="C129" s="62" t="s">
        <v>1395</v>
      </c>
      <c r="D129" s="56" t="s">
        <v>1612</v>
      </c>
    </row>
    <row r="130" spans="1:4" ht="24" customHeight="1" x14ac:dyDescent="0.15">
      <c r="A130" s="70" t="s">
        <v>5197</v>
      </c>
      <c r="B130" s="68" t="s">
        <v>5428</v>
      </c>
      <c r="C130" s="62" t="s">
        <v>1623</v>
      </c>
      <c r="D130" s="56" t="s">
        <v>1624</v>
      </c>
    </row>
    <row r="131" spans="1:4" ht="15" customHeight="1" x14ac:dyDescent="0.15">
      <c r="A131" s="70" t="s">
        <v>5198</v>
      </c>
      <c r="B131" s="68" t="s">
        <v>5428</v>
      </c>
      <c r="C131" s="62" t="s">
        <v>1623</v>
      </c>
      <c r="D131" s="56" t="s">
        <v>1624</v>
      </c>
    </row>
    <row r="132" spans="1:4" ht="15" customHeight="1" x14ac:dyDescent="0.15">
      <c r="A132" s="70" t="s">
        <v>367</v>
      </c>
      <c r="B132" s="68" t="s">
        <v>5428</v>
      </c>
      <c r="C132" s="62" t="s">
        <v>1395</v>
      </c>
      <c r="D132" s="56" t="s">
        <v>1612</v>
      </c>
    </row>
    <row r="133" spans="1:4" ht="15" customHeight="1" x14ac:dyDescent="0.15">
      <c r="A133" s="70" t="s">
        <v>485</v>
      </c>
      <c r="B133" s="68" t="s">
        <v>5428</v>
      </c>
      <c r="C133" s="62" t="s">
        <v>1395</v>
      </c>
      <c r="D133" s="56" t="s">
        <v>1612</v>
      </c>
    </row>
    <row r="134" spans="1:4" ht="24" customHeight="1" x14ac:dyDescent="0.15">
      <c r="A134" s="70" t="s">
        <v>1185</v>
      </c>
      <c r="B134" s="68" t="s">
        <v>5427</v>
      </c>
      <c r="C134" s="62" t="s">
        <v>1395</v>
      </c>
      <c r="D134" s="56" t="s">
        <v>1612</v>
      </c>
    </row>
    <row r="135" spans="1:4" ht="15" customHeight="1" x14ac:dyDescent="0.15">
      <c r="A135" s="70" t="s">
        <v>1187</v>
      </c>
      <c r="B135" s="68" t="s">
        <v>5427</v>
      </c>
      <c r="C135" s="62" t="s">
        <v>1395</v>
      </c>
      <c r="D135" s="56" t="s">
        <v>1612</v>
      </c>
    </row>
    <row r="136" spans="1:4" ht="24" customHeight="1" x14ac:dyDescent="0.15">
      <c r="A136" s="70" t="s">
        <v>702</v>
      </c>
      <c r="B136" s="68" t="s">
        <v>5427</v>
      </c>
      <c r="C136" s="62" t="s">
        <v>1395</v>
      </c>
      <c r="D136" s="56" t="s">
        <v>1612</v>
      </c>
    </row>
    <row r="137" spans="1:4" ht="15" customHeight="1" x14ac:dyDescent="0.15">
      <c r="A137" s="70" t="s">
        <v>1190</v>
      </c>
      <c r="B137" s="68" t="s">
        <v>5427</v>
      </c>
      <c r="C137" s="62" t="s">
        <v>1395</v>
      </c>
      <c r="D137" s="56" t="s">
        <v>1612</v>
      </c>
    </row>
    <row r="138" spans="1:4" ht="15" customHeight="1" x14ac:dyDescent="0.15">
      <c r="A138" s="70" t="s">
        <v>1192</v>
      </c>
      <c r="B138" s="68" t="s">
        <v>5427</v>
      </c>
      <c r="C138" s="62" t="s">
        <v>1395</v>
      </c>
      <c r="D138" s="56" t="s">
        <v>1612</v>
      </c>
    </row>
    <row r="139" spans="1:4" ht="24" customHeight="1" x14ac:dyDescent="0.15">
      <c r="A139" s="70" t="s">
        <v>1194</v>
      </c>
      <c r="B139" s="68" t="s">
        <v>5427</v>
      </c>
      <c r="C139" s="62" t="s">
        <v>1395</v>
      </c>
      <c r="D139" s="56" t="s">
        <v>1612</v>
      </c>
    </row>
    <row r="140" spans="1:4" ht="15" customHeight="1" x14ac:dyDescent="0.15">
      <c r="A140" s="70" t="s">
        <v>1196</v>
      </c>
      <c r="B140" s="68" t="s">
        <v>5427</v>
      </c>
      <c r="C140" s="62" t="s">
        <v>1395</v>
      </c>
      <c r="D140" s="56" t="s">
        <v>1612</v>
      </c>
    </row>
    <row r="141" spans="1:4" ht="15" customHeight="1" x14ac:dyDescent="0.15">
      <c r="A141" s="70" t="s">
        <v>1198</v>
      </c>
      <c r="B141" s="68" t="s">
        <v>5427</v>
      </c>
      <c r="C141" s="62" t="s">
        <v>1395</v>
      </c>
      <c r="D141" s="56" t="s">
        <v>1612</v>
      </c>
    </row>
    <row r="142" spans="1:4" ht="15" customHeight="1" x14ac:dyDescent="0.15">
      <c r="A142" s="70" t="s">
        <v>707</v>
      </c>
      <c r="B142" s="68" t="s">
        <v>5427</v>
      </c>
      <c r="C142" s="62" t="s">
        <v>1395</v>
      </c>
      <c r="D142" s="56" t="s">
        <v>1612</v>
      </c>
    </row>
    <row r="143" spans="1:4" ht="15" customHeight="1" x14ac:dyDescent="0.15">
      <c r="A143" s="70" t="s">
        <v>1201</v>
      </c>
      <c r="B143" s="68" t="s">
        <v>5427</v>
      </c>
      <c r="C143" s="62" t="s">
        <v>1395</v>
      </c>
      <c r="D143" s="56" t="s">
        <v>1612</v>
      </c>
    </row>
    <row r="144" spans="1:4" ht="24" customHeight="1" x14ac:dyDescent="0.15">
      <c r="A144" s="70" t="s">
        <v>1203</v>
      </c>
      <c r="B144" s="68" t="s">
        <v>5427</v>
      </c>
      <c r="C144" s="62" t="s">
        <v>1395</v>
      </c>
      <c r="D144" s="56" t="s">
        <v>1612</v>
      </c>
    </row>
    <row r="145" spans="1:5" ht="15" customHeight="1" x14ac:dyDescent="0.15">
      <c r="A145" s="70" t="s">
        <v>1205</v>
      </c>
      <c r="B145" s="68" t="s">
        <v>5427</v>
      </c>
      <c r="C145" s="62" t="s">
        <v>1395</v>
      </c>
      <c r="D145" s="56" t="s">
        <v>1612</v>
      </c>
    </row>
    <row r="146" spans="1:5" ht="15" customHeight="1" x14ac:dyDescent="0.15">
      <c r="A146" s="70" t="s">
        <v>710</v>
      </c>
      <c r="B146" s="68" t="s">
        <v>5427</v>
      </c>
      <c r="C146" s="62" t="s">
        <v>1395</v>
      </c>
      <c r="D146" s="56" t="s">
        <v>1612</v>
      </c>
    </row>
    <row r="147" spans="1:5" ht="15" customHeight="1" x14ac:dyDescent="0.15">
      <c r="A147" s="70" t="s">
        <v>548</v>
      </c>
      <c r="B147" s="68" t="s">
        <v>5427</v>
      </c>
      <c r="C147" s="62" t="s">
        <v>1395</v>
      </c>
      <c r="D147" s="56" t="s">
        <v>1612</v>
      </c>
    </row>
    <row r="148" spans="1:5" ht="15" customHeight="1" x14ac:dyDescent="0.15">
      <c r="A148" s="70" t="s">
        <v>1302</v>
      </c>
      <c r="B148" s="68" t="s">
        <v>5427</v>
      </c>
      <c r="C148" s="62" t="s">
        <v>1125</v>
      </c>
      <c r="D148" s="56" t="s">
        <v>1579</v>
      </c>
    </row>
    <row r="149" spans="1:5" ht="15" customHeight="1" x14ac:dyDescent="0.15">
      <c r="A149" s="70" t="s">
        <v>1304</v>
      </c>
      <c r="B149" s="68" t="s">
        <v>5427</v>
      </c>
      <c r="C149" s="62" t="s">
        <v>1125</v>
      </c>
      <c r="D149" s="56" t="s">
        <v>1579</v>
      </c>
    </row>
    <row r="150" spans="1:5" ht="15" customHeight="1" x14ac:dyDescent="0.15">
      <c r="A150" s="70" t="s">
        <v>745</v>
      </c>
      <c r="B150" s="68" t="s">
        <v>5428</v>
      </c>
      <c r="C150" s="62" t="s">
        <v>1636</v>
      </c>
      <c r="D150" s="63" t="s">
        <v>1637</v>
      </c>
    </row>
    <row r="151" spans="1:5" ht="19" customHeight="1" x14ac:dyDescent="0.15">
      <c r="A151" s="70" t="s">
        <v>746</v>
      </c>
      <c r="B151" s="68" t="s">
        <v>5421</v>
      </c>
      <c r="C151" s="62" t="s">
        <v>1610</v>
      </c>
      <c r="D151" s="56" t="s">
        <v>5214</v>
      </c>
    </row>
    <row r="152" spans="1:5" ht="24" customHeight="1" x14ac:dyDescent="0.15">
      <c r="A152" s="70" t="s">
        <v>384</v>
      </c>
      <c r="B152" s="68" t="s">
        <v>5428</v>
      </c>
      <c r="C152" s="62" t="s">
        <v>5424</v>
      </c>
      <c r="D152" s="59" t="s">
        <v>5398</v>
      </c>
    </row>
    <row r="153" spans="1:5" ht="15" customHeight="1" x14ac:dyDescent="0.15">
      <c r="A153" s="70" t="s">
        <v>423</v>
      </c>
      <c r="B153" s="68" t="s">
        <v>5428</v>
      </c>
      <c r="C153" s="62" t="s">
        <v>1643</v>
      </c>
      <c r="D153" s="56" t="s">
        <v>1583</v>
      </c>
    </row>
    <row r="154" spans="1:5" ht="24" customHeight="1" x14ac:dyDescent="0.15">
      <c r="A154" s="70" t="s">
        <v>5199</v>
      </c>
      <c r="B154" s="68" t="s">
        <v>5428</v>
      </c>
      <c r="C154" s="62" t="s">
        <v>1643</v>
      </c>
      <c r="D154" s="56" t="s">
        <v>1583</v>
      </c>
    </row>
    <row r="155" spans="1:5" ht="34" customHeight="1" x14ac:dyDescent="0.15">
      <c r="A155" s="70" t="s">
        <v>554</v>
      </c>
      <c r="B155" s="68" t="s">
        <v>5427</v>
      </c>
      <c r="C155" s="62" t="s">
        <v>1611</v>
      </c>
      <c r="D155" s="56" t="s">
        <v>5249</v>
      </c>
      <c r="E155" s="61"/>
    </row>
    <row r="156" spans="1:5" ht="15" customHeight="1" x14ac:dyDescent="0.15">
      <c r="A156" s="70" t="s">
        <v>415</v>
      </c>
      <c r="B156" s="68" t="s">
        <v>5427</v>
      </c>
      <c r="C156" s="62" t="s">
        <v>1597</v>
      </c>
      <c r="D156" s="56" t="s">
        <v>1585</v>
      </c>
    </row>
    <row r="157" spans="1:5" ht="24" customHeight="1" x14ac:dyDescent="0.15">
      <c r="A157" s="70" t="s">
        <v>1500</v>
      </c>
      <c r="B157" s="68" t="s">
        <v>5428</v>
      </c>
      <c r="C157" s="62" t="s">
        <v>1643</v>
      </c>
      <c r="D157" s="56" t="s">
        <v>1583</v>
      </c>
    </row>
    <row r="158" spans="1:5" ht="15" customHeight="1" x14ac:dyDescent="0.15">
      <c r="A158" s="70" t="s">
        <v>377</v>
      </c>
      <c r="B158" s="68" t="s">
        <v>5428</v>
      </c>
      <c r="C158" s="62" t="s">
        <v>1643</v>
      </c>
      <c r="D158" s="56" t="s">
        <v>1583</v>
      </c>
    </row>
    <row r="159" spans="1:5" ht="24" customHeight="1" x14ac:dyDescent="0.15">
      <c r="A159" s="70" t="s">
        <v>458</v>
      </c>
      <c r="B159" s="68" t="s">
        <v>5428</v>
      </c>
      <c r="C159" s="62" t="s">
        <v>1643</v>
      </c>
      <c r="D159" s="56" t="s">
        <v>1583</v>
      </c>
    </row>
    <row r="160" spans="1:5" ht="15" customHeight="1" x14ac:dyDescent="0.15">
      <c r="A160" s="70" t="s">
        <v>810</v>
      </c>
      <c r="B160" s="68" t="s">
        <v>5428</v>
      </c>
      <c r="C160" s="62" t="s">
        <v>1595</v>
      </c>
      <c r="D160" s="56" t="s">
        <v>1596</v>
      </c>
    </row>
    <row r="161" spans="1:6" ht="24" customHeight="1" x14ac:dyDescent="0.15">
      <c r="A161" s="70" t="s">
        <v>420</v>
      </c>
      <c r="B161" s="68" t="s">
        <v>5421</v>
      </c>
      <c r="C161" s="62" t="s">
        <v>1595</v>
      </c>
      <c r="D161" s="56" t="s">
        <v>1596</v>
      </c>
    </row>
    <row r="162" spans="1:6" ht="24" customHeight="1" x14ac:dyDescent="0.15">
      <c r="A162" s="70" t="s">
        <v>422</v>
      </c>
      <c r="B162" s="68" t="s">
        <v>5428</v>
      </c>
      <c r="C162" s="62" t="s">
        <v>1643</v>
      </c>
      <c r="D162" s="56" t="s">
        <v>1583</v>
      </c>
    </row>
    <row r="163" spans="1:6" ht="24" customHeight="1" x14ac:dyDescent="0.15">
      <c r="A163" s="70" t="s">
        <v>5200</v>
      </c>
      <c r="B163" s="68" t="s">
        <v>5428</v>
      </c>
      <c r="C163" s="62" t="s">
        <v>1595</v>
      </c>
      <c r="D163" s="56" t="s">
        <v>1596</v>
      </c>
    </row>
    <row r="164" spans="1:6" ht="15" customHeight="1" x14ac:dyDescent="0.15">
      <c r="A164" s="70" t="s">
        <v>5201</v>
      </c>
      <c r="B164" s="68" t="s">
        <v>5428</v>
      </c>
      <c r="C164" s="62" t="s">
        <v>1595</v>
      </c>
      <c r="D164" s="56" t="s">
        <v>1596</v>
      </c>
    </row>
    <row r="165" spans="1:6" ht="15" customHeight="1" x14ac:dyDescent="0.15">
      <c r="A165" s="70" t="s">
        <v>559</v>
      </c>
      <c r="B165" s="68" t="s">
        <v>5428</v>
      </c>
      <c r="C165" s="62" t="s">
        <v>1125</v>
      </c>
      <c r="D165" s="56" t="s">
        <v>1579</v>
      </c>
    </row>
    <row r="166" spans="1:6" ht="15" customHeight="1" x14ac:dyDescent="0.15">
      <c r="A166" s="70" t="s">
        <v>638</v>
      </c>
      <c r="B166" s="68" t="s">
        <v>5428</v>
      </c>
      <c r="C166" s="62" t="s">
        <v>1581</v>
      </c>
      <c r="D166" s="56" t="s">
        <v>1578</v>
      </c>
      <c r="E166" s="56"/>
      <c r="F166" s="56"/>
    </row>
    <row r="167" spans="1:6" ht="15" customHeight="1" x14ac:dyDescent="0.15">
      <c r="A167" s="70" t="s">
        <v>642</v>
      </c>
      <c r="B167" s="68" t="s">
        <v>5428</v>
      </c>
      <c r="C167" s="62" t="s">
        <v>1591</v>
      </c>
      <c r="D167" s="56" t="s">
        <v>1579</v>
      </c>
    </row>
    <row r="168" spans="1:6" ht="22" customHeight="1" x14ac:dyDescent="0.15">
      <c r="A168" s="70" t="s">
        <v>768</v>
      </c>
      <c r="B168" s="68" t="s">
        <v>5421</v>
      </c>
      <c r="C168" s="62" t="s">
        <v>5252</v>
      </c>
      <c r="D168" s="56" t="s">
        <v>5251</v>
      </c>
    </row>
    <row r="169" spans="1:6" ht="21" customHeight="1" x14ac:dyDescent="0.15">
      <c r="A169" s="70" t="s">
        <v>1359</v>
      </c>
      <c r="B169" s="68" t="s">
        <v>5421</v>
      </c>
      <c r="C169" s="62" t="s">
        <v>1623</v>
      </c>
      <c r="D169" s="56" t="s">
        <v>1624</v>
      </c>
    </row>
    <row r="170" spans="1:6" ht="15" customHeight="1" x14ac:dyDescent="0.15">
      <c r="A170" s="70" t="s">
        <v>769</v>
      </c>
      <c r="B170" s="68" t="s">
        <v>5421</v>
      </c>
      <c r="C170" s="62" t="s">
        <v>5202</v>
      </c>
      <c r="D170" s="59" t="s">
        <v>5405</v>
      </c>
    </row>
    <row r="171" spans="1:6" ht="21" customHeight="1" x14ac:dyDescent="0.15">
      <c r="A171" s="70" t="s">
        <v>427</v>
      </c>
      <c r="B171" s="68" t="s">
        <v>5427</v>
      </c>
      <c r="C171" s="62" t="s">
        <v>1622</v>
      </c>
      <c r="D171" s="59" t="s">
        <v>5406</v>
      </c>
    </row>
    <row r="172" spans="1:6" ht="24" customHeight="1" x14ac:dyDescent="0.15">
      <c r="A172" s="70" t="s">
        <v>545</v>
      </c>
      <c r="B172" s="68" t="s">
        <v>5421</v>
      </c>
      <c r="C172" s="62" t="s">
        <v>1395</v>
      </c>
      <c r="D172" s="56" t="s">
        <v>1612</v>
      </c>
    </row>
    <row r="173" spans="1:6" ht="24" customHeight="1" x14ac:dyDescent="0.15">
      <c r="A173" s="70" t="s">
        <v>1364</v>
      </c>
      <c r="B173" s="68" t="s">
        <v>5421</v>
      </c>
      <c r="C173" s="62" t="s">
        <v>5232</v>
      </c>
      <c r="D173" s="56" t="s">
        <v>5233</v>
      </c>
    </row>
    <row r="174" spans="1:6" ht="15" customHeight="1" x14ac:dyDescent="0.15">
      <c r="A174" s="70" t="s">
        <v>770</v>
      </c>
      <c r="B174" s="68" t="s">
        <v>5421</v>
      </c>
      <c r="C174" s="62" t="s">
        <v>1623</v>
      </c>
      <c r="D174" s="56" t="s">
        <v>1624</v>
      </c>
    </row>
    <row r="175" spans="1:6" ht="24" customHeight="1" x14ac:dyDescent="0.15">
      <c r="A175" s="70" t="s">
        <v>771</v>
      </c>
      <c r="B175" s="68" t="s">
        <v>5427</v>
      </c>
      <c r="C175" s="62" t="s">
        <v>1635</v>
      </c>
      <c r="D175" s="56" t="s">
        <v>5220</v>
      </c>
    </row>
    <row r="176" spans="1:6" ht="19" customHeight="1" x14ac:dyDescent="0.15">
      <c r="A176" s="70" t="s">
        <v>1368</v>
      </c>
      <c r="B176" s="69" t="s">
        <v>5421</v>
      </c>
      <c r="C176" s="62" t="s">
        <v>1630</v>
      </c>
      <c r="D176" s="56" t="s">
        <v>5203</v>
      </c>
    </row>
    <row r="177" spans="1:4" ht="24" customHeight="1" x14ac:dyDescent="0.15">
      <c r="A177" s="70" t="s">
        <v>1370</v>
      </c>
      <c r="B177" s="68" t="s">
        <v>5421</v>
      </c>
      <c r="C177" s="62" t="s">
        <v>1623</v>
      </c>
      <c r="D177" s="56" t="s">
        <v>1624</v>
      </c>
    </row>
    <row r="178" spans="1:4" ht="15" customHeight="1" x14ac:dyDescent="0.15">
      <c r="A178" s="70" t="s">
        <v>370</v>
      </c>
      <c r="B178" s="68" t="s">
        <v>5427</v>
      </c>
      <c r="C178" s="62" t="s">
        <v>1623</v>
      </c>
      <c r="D178" s="56" t="s">
        <v>1624</v>
      </c>
    </row>
    <row r="179" spans="1:4" ht="24" customHeight="1" x14ac:dyDescent="0.15">
      <c r="A179" s="70" t="s">
        <v>1373</v>
      </c>
      <c r="B179" s="68" t="s">
        <v>5427</v>
      </c>
      <c r="C179" s="62" t="s">
        <v>1623</v>
      </c>
      <c r="D179" s="56" t="s">
        <v>1624</v>
      </c>
    </row>
    <row r="180" spans="1:4" ht="15" customHeight="1" x14ac:dyDescent="0.15">
      <c r="A180" s="70" t="s">
        <v>775</v>
      </c>
      <c r="B180" s="68" t="s">
        <v>5421</v>
      </c>
      <c r="C180" s="62" t="s">
        <v>1623</v>
      </c>
      <c r="D180" s="56" t="s">
        <v>1624</v>
      </c>
    </row>
    <row r="181" spans="1:4" ht="24" customHeight="1" x14ac:dyDescent="0.15">
      <c r="A181" s="70" t="s">
        <v>625</v>
      </c>
      <c r="B181" s="68" t="s">
        <v>5421</v>
      </c>
      <c r="C181" s="62" t="s">
        <v>1623</v>
      </c>
      <c r="D181" s="56" t="s">
        <v>1624</v>
      </c>
    </row>
    <row r="182" spans="1:4" ht="24" customHeight="1" x14ac:dyDescent="0.15">
      <c r="A182" s="70" t="s">
        <v>776</v>
      </c>
      <c r="B182" s="68" t="s">
        <v>5421</v>
      </c>
      <c r="C182" s="62" t="s">
        <v>1623</v>
      </c>
      <c r="D182" s="56" t="s">
        <v>1624</v>
      </c>
    </row>
    <row r="183" spans="1:4" ht="24" customHeight="1" x14ac:dyDescent="0.15">
      <c r="A183" s="70" t="s">
        <v>430</v>
      </c>
      <c r="B183" s="68" t="s">
        <v>5421</v>
      </c>
      <c r="C183" s="62" t="s">
        <v>1623</v>
      </c>
      <c r="D183" s="56" t="s">
        <v>1624</v>
      </c>
    </row>
    <row r="184" spans="1:4" ht="24" customHeight="1" x14ac:dyDescent="0.15">
      <c r="A184" s="70" t="s">
        <v>777</v>
      </c>
      <c r="B184" s="68" t="s">
        <v>5421</v>
      </c>
      <c r="C184" s="62" t="s">
        <v>1623</v>
      </c>
      <c r="D184" s="56" t="s">
        <v>1624</v>
      </c>
    </row>
    <row r="185" spans="1:4" ht="18" customHeight="1" x14ac:dyDescent="0.15">
      <c r="A185" s="70" t="s">
        <v>778</v>
      </c>
      <c r="B185" s="68" t="s">
        <v>5421</v>
      </c>
      <c r="C185" s="62" t="s">
        <v>5204</v>
      </c>
      <c r="D185" s="56" t="s">
        <v>5254</v>
      </c>
    </row>
    <row r="186" spans="1:4" ht="15" customHeight="1" x14ac:dyDescent="0.15">
      <c r="A186" s="70" t="s">
        <v>779</v>
      </c>
      <c r="B186" s="68" t="s">
        <v>5421</v>
      </c>
      <c r="C186" s="62" t="s">
        <v>1623</v>
      </c>
      <c r="D186" s="56" t="s">
        <v>1624</v>
      </c>
    </row>
    <row r="187" spans="1:4" ht="20" customHeight="1" x14ac:dyDescent="0.15">
      <c r="A187" s="70" t="s">
        <v>1382</v>
      </c>
      <c r="B187" s="68" t="s">
        <v>5421</v>
      </c>
      <c r="C187" s="62" t="s">
        <v>1395</v>
      </c>
      <c r="D187" s="56" t="s">
        <v>1612</v>
      </c>
    </row>
    <row r="188" spans="1:4" ht="18" customHeight="1" x14ac:dyDescent="0.15">
      <c r="A188" s="70" t="s">
        <v>1384</v>
      </c>
      <c r="B188" s="68" t="s">
        <v>5421</v>
      </c>
      <c r="C188" s="62" t="s">
        <v>5257</v>
      </c>
      <c r="D188" s="59" t="s">
        <v>5407</v>
      </c>
    </row>
    <row r="189" spans="1:4" ht="15" customHeight="1" x14ac:dyDescent="0.15">
      <c r="A189" s="70" t="s">
        <v>747</v>
      </c>
      <c r="B189" s="68" t="s">
        <v>5421</v>
      </c>
      <c r="C189" s="62" t="s">
        <v>5205</v>
      </c>
      <c r="D189" s="56" t="s">
        <v>1617</v>
      </c>
    </row>
    <row r="190" spans="1:4" ht="24" customHeight="1" x14ac:dyDescent="0.15">
      <c r="A190" s="70" t="s">
        <v>824</v>
      </c>
      <c r="B190" s="68" t="s">
        <v>5427</v>
      </c>
      <c r="C190" s="62" t="s">
        <v>913</v>
      </c>
      <c r="D190" s="56" t="s">
        <v>5265</v>
      </c>
    </row>
    <row r="191" spans="1:4" ht="24" customHeight="1" x14ac:dyDescent="0.15">
      <c r="A191" s="70" t="s">
        <v>1545</v>
      </c>
      <c r="B191" s="68" t="s">
        <v>5427</v>
      </c>
      <c r="C191" s="62" t="s">
        <v>1615</v>
      </c>
      <c r="D191" s="56" t="s">
        <v>5234</v>
      </c>
    </row>
    <row r="192" spans="1:4" ht="24" customHeight="1" x14ac:dyDescent="0.15">
      <c r="A192" s="70" t="s">
        <v>1547</v>
      </c>
      <c r="B192" s="68" t="s">
        <v>5427</v>
      </c>
      <c r="C192" s="62" t="s">
        <v>5229</v>
      </c>
      <c r="D192" s="56" t="s">
        <v>5230</v>
      </c>
    </row>
    <row r="193" spans="1:4" ht="24" customHeight="1" x14ac:dyDescent="0.15">
      <c r="A193" s="70" t="s">
        <v>696</v>
      </c>
      <c r="B193" s="68" t="s">
        <v>5427</v>
      </c>
      <c r="C193" s="62" t="s">
        <v>1395</v>
      </c>
      <c r="D193" s="56" t="s">
        <v>1612</v>
      </c>
    </row>
    <row r="194" spans="1:4" ht="15" customHeight="1" x14ac:dyDescent="0.15">
      <c r="A194" s="70" t="s">
        <v>490</v>
      </c>
      <c r="B194" s="68" t="s">
        <v>5427</v>
      </c>
      <c r="C194" s="62" t="s">
        <v>1395</v>
      </c>
      <c r="D194" s="56" t="s">
        <v>1612</v>
      </c>
    </row>
    <row r="195" spans="1:4" ht="15" customHeight="1" x14ac:dyDescent="0.15">
      <c r="A195" s="70" t="s">
        <v>1209</v>
      </c>
      <c r="B195" s="68" t="s">
        <v>5427</v>
      </c>
      <c r="C195" s="62" t="s">
        <v>1395</v>
      </c>
      <c r="D195" s="56" t="s">
        <v>1612</v>
      </c>
    </row>
    <row r="196" spans="1:4" ht="15" customHeight="1" x14ac:dyDescent="0.15">
      <c r="A196" s="70" t="s">
        <v>643</v>
      </c>
      <c r="B196" s="68" t="s">
        <v>5428</v>
      </c>
      <c r="C196" s="62" t="s">
        <v>1595</v>
      </c>
      <c r="D196" s="56" t="s">
        <v>1596</v>
      </c>
    </row>
    <row r="197" spans="1:4" ht="24" customHeight="1" x14ac:dyDescent="0.15">
      <c r="A197" s="70" t="s">
        <v>748</v>
      </c>
      <c r="B197" s="68" t="s">
        <v>5427</v>
      </c>
      <c r="C197" s="62" t="s">
        <v>1619</v>
      </c>
      <c r="D197" s="56" t="s">
        <v>1620</v>
      </c>
    </row>
    <row r="198" spans="1:4" ht="24" customHeight="1" x14ac:dyDescent="0.15">
      <c r="A198" s="70" t="s">
        <v>749</v>
      </c>
      <c r="B198" s="68" t="s">
        <v>5427</v>
      </c>
      <c r="C198" s="62" t="s">
        <v>1602</v>
      </c>
      <c r="D198" s="56" t="s">
        <v>1603</v>
      </c>
    </row>
    <row r="199" spans="1:4" ht="24" customHeight="1" x14ac:dyDescent="0.15">
      <c r="A199" s="70" t="s">
        <v>750</v>
      </c>
      <c r="B199" s="68" t="s">
        <v>5427</v>
      </c>
      <c r="C199" s="62" t="s">
        <v>1626</v>
      </c>
      <c r="D199" s="56" t="s">
        <v>5213</v>
      </c>
    </row>
    <row r="200" spans="1:4" ht="23" customHeight="1" x14ac:dyDescent="0.15">
      <c r="A200" s="70" t="s">
        <v>813</v>
      </c>
      <c r="B200" s="68" t="s">
        <v>5421</v>
      </c>
      <c r="C200" s="62" t="s">
        <v>1591</v>
      </c>
      <c r="D200" s="56" t="s">
        <v>5258</v>
      </c>
    </row>
    <row r="201" spans="1:4" ht="17" customHeight="1" x14ac:dyDescent="0.15">
      <c r="A201" s="70" t="s">
        <v>441</v>
      </c>
      <c r="B201" s="68" t="s">
        <v>5428</v>
      </c>
      <c r="C201" s="62" t="s">
        <v>1643</v>
      </c>
      <c r="D201" s="56" t="s">
        <v>1583</v>
      </c>
    </row>
    <row r="202" spans="1:4" ht="27" customHeight="1" x14ac:dyDescent="0.15">
      <c r="A202" s="70" t="s">
        <v>1313</v>
      </c>
      <c r="B202" s="68" t="s">
        <v>5427</v>
      </c>
      <c r="C202" s="62" t="s">
        <v>205</v>
      </c>
      <c r="D202" s="56" t="s">
        <v>1608</v>
      </c>
    </row>
    <row r="203" spans="1:4" ht="22" customHeight="1" x14ac:dyDescent="0.15">
      <c r="A203" s="70" t="s">
        <v>1315</v>
      </c>
      <c r="B203" s="68" t="s">
        <v>5427</v>
      </c>
      <c r="C203" s="62" t="s">
        <v>205</v>
      </c>
      <c r="D203" s="56" t="s">
        <v>1608</v>
      </c>
    </row>
    <row r="204" spans="1:4" ht="19" customHeight="1" x14ac:dyDescent="0.15">
      <c r="A204" s="70" t="s">
        <v>1317</v>
      </c>
      <c r="B204" s="68" t="s">
        <v>5427</v>
      </c>
      <c r="C204" s="62" t="s">
        <v>205</v>
      </c>
      <c r="D204" s="56" t="s">
        <v>1608</v>
      </c>
    </row>
    <row r="205" spans="1:4" ht="29" customHeight="1" x14ac:dyDescent="0.15">
      <c r="A205" s="70" t="s">
        <v>1319</v>
      </c>
      <c r="B205" s="68" t="s">
        <v>5427</v>
      </c>
      <c r="C205" s="62" t="s">
        <v>1609</v>
      </c>
      <c r="D205" s="56" t="s">
        <v>5259</v>
      </c>
    </row>
    <row r="206" spans="1:4" ht="28" customHeight="1" x14ac:dyDescent="0.15">
      <c r="A206" s="70" t="s">
        <v>753</v>
      </c>
      <c r="B206" s="68" t="s">
        <v>5421</v>
      </c>
      <c r="C206" s="62" t="s">
        <v>1645</v>
      </c>
      <c r="D206" s="56" t="s">
        <v>5248</v>
      </c>
    </row>
    <row r="207" spans="1:4" ht="24" customHeight="1" x14ac:dyDescent="0.15">
      <c r="A207" s="70" t="s">
        <v>754</v>
      </c>
      <c r="B207" s="68" t="s">
        <v>5427</v>
      </c>
      <c r="C207" s="62" t="s">
        <v>1125</v>
      </c>
      <c r="D207" s="56" t="s">
        <v>1578</v>
      </c>
    </row>
    <row r="208" spans="1:4" ht="24" customHeight="1" x14ac:dyDescent="0.15">
      <c r="A208" s="70" t="s">
        <v>1323</v>
      </c>
      <c r="B208" s="68" t="s">
        <v>5427</v>
      </c>
      <c r="C208" s="62" t="s">
        <v>205</v>
      </c>
      <c r="D208" s="56" t="s">
        <v>1608</v>
      </c>
    </row>
    <row r="209" spans="1:4" ht="24" customHeight="1" x14ac:dyDescent="0.15">
      <c r="A209" s="70" t="s">
        <v>499</v>
      </c>
      <c r="B209" s="68" t="s">
        <v>5427</v>
      </c>
      <c r="C209" s="62" t="s">
        <v>1125</v>
      </c>
      <c r="D209" s="56" t="s">
        <v>1578</v>
      </c>
    </row>
    <row r="210" spans="1:4" ht="24" customHeight="1" x14ac:dyDescent="0.15">
      <c r="A210" s="70" t="s">
        <v>1326</v>
      </c>
      <c r="B210" s="68" t="s">
        <v>5427</v>
      </c>
      <c r="C210" s="62" t="s">
        <v>1125</v>
      </c>
      <c r="D210" s="56" t="s">
        <v>1578</v>
      </c>
    </row>
    <row r="211" spans="1:4" ht="24" customHeight="1" x14ac:dyDescent="0.15">
      <c r="A211" s="70" t="s">
        <v>589</v>
      </c>
      <c r="B211" s="68" t="s">
        <v>5428</v>
      </c>
      <c r="C211" s="62" t="s">
        <v>332</v>
      </c>
      <c r="D211" s="56" t="s">
        <v>5247</v>
      </c>
    </row>
    <row r="212" spans="1:4" ht="24" customHeight="1" x14ac:dyDescent="0.15">
      <c r="A212" s="70" t="s">
        <v>590</v>
      </c>
      <c r="B212" s="68" t="s">
        <v>5421</v>
      </c>
      <c r="C212" s="62" t="s">
        <v>332</v>
      </c>
      <c r="D212" s="56" t="s">
        <v>5247</v>
      </c>
    </row>
    <row r="213" spans="1:4" ht="24" customHeight="1" x14ac:dyDescent="0.15">
      <c r="A213" s="70" t="s">
        <v>405</v>
      </c>
      <c r="B213" s="68" t="s">
        <v>5421</v>
      </c>
      <c r="C213" s="62" t="s">
        <v>1613</v>
      </c>
      <c r="D213" s="56" t="s">
        <v>5408</v>
      </c>
    </row>
    <row r="214" spans="1:4" ht="24" customHeight="1" x14ac:dyDescent="0.15">
      <c r="A214" s="70" t="s">
        <v>532</v>
      </c>
      <c r="B214" s="68" t="s">
        <v>5421</v>
      </c>
      <c r="C214" s="62" t="s">
        <v>1613</v>
      </c>
      <c r="D214" s="56" t="s">
        <v>5408</v>
      </c>
    </row>
    <row r="215" spans="1:4" ht="15" customHeight="1" x14ac:dyDescent="0.15">
      <c r="A215" s="70" t="s">
        <v>417</v>
      </c>
      <c r="B215" s="69" t="s">
        <v>5436</v>
      </c>
      <c r="C215" s="62" t="s">
        <v>5219</v>
      </c>
      <c r="D215" s="56" t="s">
        <v>5408</v>
      </c>
    </row>
    <row r="216" spans="1:4" ht="15" customHeight="1" x14ac:dyDescent="0.15">
      <c r="A216" s="70" t="s">
        <v>678</v>
      </c>
      <c r="B216" s="69" t="s">
        <v>5436</v>
      </c>
      <c r="C216" s="62" t="s">
        <v>1613</v>
      </c>
      <c r="D216" s="56" t="s">
        <v>5408</v>
      </c>
    </row>
    <row r="217" spans="1:4" ht="15" customHeight="1" x14ac:dyDescent="0.15">
      <c r="A217" s="70" t="s">
        <v>679</v>
      </c>
      <c r="B217" s="68" t="s">
        <v>5427</v>
      </c>
      <c r="C217" s="62" t="s">
        <v>1613</v>
      </c>
      <c r="D217" s="56" t="s">
        <v>5408</v>
      </c>
    </row>
    <row r="218" spans="1:4" ht="24" customHeight="1" x14ac:dyDescent="0.15">
      <c r="A218" s="70" t="s">
        <v>680</v>
      </c>
      <c r="B218" s="69" t="s">
        <v>5436</v>
      </c>
      <c r="C218" s="62" t="s">
        <v>1613</v>
      </c>
      <c r="D218" s="56" t="s">
        <v>5408</v>
      </c>
    </row>
    <row r="219" spans="1:4" ht="15" customHeight="1" x14ac:dyDescent="0.15">
      <c r="A219" s="70" t="s">
        <v>489</v>
      </c>
      <c r="B219" s="68" t="s">
        <v>5427</v>
      </c>
      <c r="C219" s="62" t="s">
        <v>1730</v>
      </c>
      <c r="D219" s="56" t="s">
        <v>5217</v>
      </c>
    </row>
    <row r="220" spans="1:4" ht="24" customHeight="1" x14ac:dyDescent="0.15">
      <c r="A220" s="70" t="s">
        <v>444</v>
      </c>
      <c r="B220" s="68" t="s">
        <v>5421</v>
      </c>
      <c r="C220" s="62" t="s">
        <v>1613</v>
      </c>
      <c r="D220" s="56" t="s">
        <v>5408</v>
      </c>
    </row>
    <row r="221" spans="1:4" ht="15" customHeight="1" x14ac:dyDescent="0.15">
      <c r="A221" s="70" t="s">
        <v>409</v>
      </c>
      <c r="B221" s="68" t="s">
        <v>5421</v>
      </c>
      <c r="C221" s="62" t="s">
        <v>1613</v>
      </c>
      <c r="D221" s="56" t="s">
        <v>5408</v>
      </c>
    </row>
    <row r="222" spans="1:4" ht="15" customHeight="1" x14ac:dyDescent="0.15">
      <c r="A222" s="70" t="s">
        <v>1152</v>
      </c>
      <c r="B222" s="68" t="s">
        <v>5421</v>
      </c>
      <c r="C222" s="62" t="s">
        <v>5218</v>
      </c>
      <c r="D222" s="56" t="s">
        <v>5216</v>
      </c>
    </row>
    <row r="223" spans="1:4" ht="23" customHeight="1" x14ac:dyDescent="0.15">
      <c r="A223" s="70" t="s">
        <v>756</v>
      </c>
      <c r="B223" s="68" t="s">
        <v>5427</v>
      </c>
      <c r="C223" s="62" t="s">
        <v>205</v>
      </c>
      <c r="D223" s="56" t="s">
        <v>1608</v>
      </c>
    </row>
    <row r="224" spans="1:4" ht="24" customHeight="1" x14ac:dyDescent="0.15">
      <c r="A224" s="70" t="s">
        <v>757</v>
      </c>
      <c r="B224" s="68" t="s">
        <v>5427</v>
      </c>
      <c r="C224" s="62" t="s">
        <v>332</v>
      </c>
      <c r="D224" s="56" t="s">
        <v>5247</v>
      </c>
    </row>
    <row r="225" spans="1:4" ht="24" customHeight="1" x14ac:dyDescent="0.15">
      <c r="A225" s="70" t="s">
        <v>681</v>
      </c>
      <c r="B225" s="68" t="s">
        <v>5427</v>
      </c>
      <c r="C225" s="62" t="s">
        <v>1598</v>
      </c>
      <c r="D225" s="56" t="s">
        <v>1599</v>
      </c>
    </row>
    <row r="226" spans="1:4" ht="24" customHeight="1" x14ac:dyDescent="0.15">
      <c r="A226" s="70" t="s">
        <v>682</v>
      </c>
      <c r="B226" s="68" t="s">
        <v>5427</v>
      </c>
      <c r="C226" s="62" t="s">
        <v>1598</v>
      </c>
      <c r="D226" s="56" t="s">
        <v>1599</v>
      </c>
    </row>
    <row r="227" spans="1:4" ht="24" customHeight="1" x14ac:dyDescent="0.15">
      <c r="A227" s="70" t="s">
        <v>683</v>
      </c>
      <c r="B227" s="68" t="s">
        <v>5427</v>
      </c>
      <c r="C227" s="62" t="s">
        <v>1598</v>
      </c>
      <c r="D227" s="56" t="s">
        <v>1599</v>
      </c>
    </row>
    <row r="228" spans="1:4" ht="24" customHeight="1" x14ac:dyDescent="0.15">
      <c r="A228" s="70" t="s">
        <v>684</v>
      </c>
      <c r="B228" s="68" t="s">
        <v>5427</v>
      </c>
      <c r="C228" s="62" t="s">
        <v>1601</v>
      </c>
      <c r="D228" s="56" t="s">
        <v>1600</v>
      </c>
    </row>
    <row r="229" spans="1:4" ht="24" customHeight="1" x14ac:dyDescent="0.15">
      <c r="A229" s="70" t="s">
        <v>826</v>
      </c>
      <c r="B229" s="68" t="s">
        <v>5427</v>
      </c>
      <c r="C229" s="62" t="s">
        <v>1606</v>
      </c>
      <c r="D229" s="58" t="s">
        <v>5409</v>
      </c>
    </row>
    <row r="230" spans="1:4" ht="15" customHeight="1" x14ac:dyDescent="0.15">
      <c r="A230" s="70" t="s">
        <v>400</v>
      </c>
      <c r="B230" s="68" t="s">
        <v>5427</v>
      </c>
      <c r="C230" s="62" t="s">
        <v>1606</v>
      </c>
      <c r="D230" s="58" t="s">
        <v>5274</v>
      </c>
    </row>
    <row r="231" spans="1:4" ht="24" customHeight="1" x14ac:dyDescent="0.15">
      <c r="A231" s="70" t="s">
        <v>1551</v>
      </c>
      <c r="B231" s="68" t="s">
        <v>5427</v>
      </c>
      <c r="C231" s="62" t="s">
        <v>1606</v>
      </c>
      <c r="D231" s="58" t="s">
        <v>5274</v>
      </c>
    </row>
    <row r="232" spans="1:4" ht="19" customHeight="1" x14ac:dyDescent="0.15">
      <c r="A232" s="70" t="s">
        <v>828</v>
      </c>
      <c r="B232" s="68" t="s">
        <v>5427</v>
      </c>
      <c r="C232" s="62" t="s">
        <v>1606</v>
      </c>
      <c r="D232" s="58" t="s">
        <v>5274</v>
      </c>
    </row>
    <row r="233" spans="1:4" ht="15" customHeight="1" x14ac:dyDescent="0.15">
      <c r="A233" s="70" t="s">
        <v>829</v>
      </c>
      <c r="B233" s="68" t="s">
        <v>5427</v>
      </c>
      <c r="C233" s="62" t="s">
        <v>1125</v>
      </c>
      <c r="D233" s="56" t="s">
        <v>1579</v>
      </c>
    </row>
    <row r="234" spans="1:4" ht="24" customHeight="1" x14ac:dyDescent="0.15">
      <c r="A234" s="70" t="s">
        <v>758</v>
      </c>
      <c r="B234" s="68" t="s">
        <v>5427</v>
      </c>
      <c r="C234" s="62" t="s">
        <v>5255</v>
      </c>
      <c r="D234" s="56" t="s">
        <v>5256</v>
      </c>
    </row>
    <row r="235" spans="1:4" ht="18" customHeight="1" x14ac:dyDescent="0.15">
      <c r="A235" s="70" t="s">
        <v>1333</v>
      </c>
      <c r="B235" s="68" t="s">
        <v>5427</v>
      </c>
      <c r="C235" s="62" t="s">
        <v>1626</v>
      </c>
      <c r="D235" s="56" t="s">
        <v>5213</v>
      </c>
    </row>
    <row r="236" spans="1:4" ht="19" customHeight="1" x14ac:dyDescent="0.15">
      <c r="A236" s="70" t="s">
        <v>830</v>
      </c>
      <c r="B236" s="68" t="s">
        <v>5427</v>
      </c>
      <c r="C236" s="62" t="s">
        <v>1125</v>
      </c>
      <c r="D236" s="56" t="s">
        <v>1579</v>
      </c>
    </row>
    <row r="237" spans="1:4" ht="15" customHeight="1" x14ac:dyDescent="0.15">
      <c r="A237" s="70" t="s">
        <v>760</v>
      </c>
      <c r="B237" s="68" t="s">
        <v>5427</v>
      </c>
      <c r="C237" s="62" t="s">
        <v>332</v>
      </c>
      <c r="D237" s="56" t="s">
        <v>5247</v>
      </c>
    </row>
    <row r="238" spans="1:4" ht="24" customHeight="1" x14ac:dyDescent="0.15">
      <c r="A238" s="70" t="s">
        <v>761</v>
      </c>
      <c r="B238" s="68" t="s">
        <v>5427</v>
      </c>
      <c r="C238" s="62" t="s">
        <v>332</v>
      </c>
      <c r="D238" s="56" t="s">
        <v>5247</v>
      </c>
    </row>
    <row r="239" spans="1:4" ht="15" customHeight="1" x14ac:dyDescent="0.15">
      <c r="A239" s="70" t="s">
        <v>450</v>
      </c>
      <c r="B239" s="68" t="s">
        <v>5427</v>
      </c>
      <c r="C239" s="62" t="s">
        <v>332</v>
      </c>
      <c r="D239" s="56" t="s">
        <v>5247</v>
      </c>
    </row>
    <row r="240" spans="1:4" ht="15" customHeight="1" x14ac:dyDescent="0.15">
      <c r="A240" s="70" t="s">
        <v>463</v>
      </c>
      <c r="B240" s="68" t="s">
        <v>5427</v>
      </c>
      <c r="C240" s="62" t="s">
        <v>332</v>
      </c>
      <c r="D240" s="56" t="s">
        <v>5247</v>
      </c>
    </row>
    <row r="241" spans="1:4" ht="15" customHeight="1" x14ac:dyDescent="0.15">
      <c r="A241" s="70" t="s">
        <v>831</v>
      </c>
      <c r="B241" s="68" t="s">
        <v>5427</v>
      </c>
      <c r="C241" s="62" t="s">
        <v>1125</v>
      </c>
      <c r="D241" s="56" t="s">
        <v>1579</v>
      </c>
    </row>
    <row r="242" spans="1:4" ht="24" customHeight="1" x14ac:dyDescent="0.15">
      <c r="A242" s="70" t="s">
        <v>1557</v>
      </c>
      <c r="B242" s="68" t="s">
        <v>5427</v>
      </c>
      <c r="C242" s="62" t="s">
        <v>1125</v>
      </c>
      <c r="D242" s="56" t="s">
        <v>1579</v>
      </c>
    </row>
    <row r="243" spans="1:4" ht="24" customHeight="1" x14ac:dyDescent="0.15">
      <c r="A243" s="70" t="s">
        <v>5206</v>
      </c>
      <c r="B243" s="69" t="s">
        <v>5427</v>
      </c>
      <c r="C243" s="62" t="s">
        <v>1630</v>
      </c>
      <c r="D243" s="62" t="s">
        <v>1572</v>
      </c>
    </row>
    <row r="244" spans="1:4" ht="22.5" customHeight="1" x14ac:dyDescent="0.15">
      <c r="A244" s="70" t="s">
        <v>834</v>
      </c>
      <c r="B244" s="69" t="s">
        <v>5427</v>
      </c>
      <c r="C244" s="62" t="s">
        <v>1630</v>
      </c>
      <c r="D244" s="62" t="s">
        <v>1574</v>
      </c>
    </row>
    <row r="245" spans="1:4" ht="15" customHeight="1" x14ac:dyDescent="0.15">
      <c r="A245" s="70" t="s">
        <v>835</v>
      </c>
      <c r="B245" s="69" t="s">
        <v>5427</v>
      </c>
      <c r="C245" s="62" t="s">
        <v>1630</v>
      </c>
      <c r="D245" s="62" t="s">
        <v>1574</v>
      </c>
    </row>
    <row r="246" spans="1:4" ht="24" customHeight="1" x14ac:dyDescent="0.15">
      <c r="A246" s="70" t="s">
        <v>836</v>
      </c>
      <c r="B246" s="69" t="s">
        <v>5427</v>
      </c>
      <c r="C246" s="62" t="s">
        <v>1630</v>
      </c>
      <c r="D246" s="62" t="s">
        <v>1574</v>
      </c>
    </row>
    <row r="247" spans="1:4" ht="15" customHeight="1" x14ac:dyDescent="0.15">
      <c r="A247" s="70" t="s">
        <v>1563</v>
      </c>
      <c r="B247" s="68" t="s">
        <v>5427</v>
      </c>
      <c r="C247" s="62" t="s">
        <v>1568</v>
      </c>
      <c r="D247" s="63" t="s">
        <v>1569</v>
      </c>
    </row>
    <row r="248" spans="1:4" ht="24" customHeight="1" x14ac:dyDescent="0.15">
      <c r="A248" s="70" t="s">
        <v>783</v>
      </c>
      <c r="B248" s="69" t="s">
        <v>5421</v>
      </c>
      <c r="C248" s="62" t="s">
        <v>1630</v>
      </c>
      <c r="D248" s="62" t="s">
        <v>1573</v>
      </c>
    </row>
    <row r="249" spans="1:4" ht="19" customHeight="1" x14ac:dyDescent="0.15">
      <c r="A249" s="70" t="s">
        <v>5207</v>
      </c>
      <c r="B249" s="69" t="s">
        <v>5421</v>
      </c>
      <c r="C249" s="62" t="s">
        <v>1630</v>
      </c>
      <c r="D249" s="62" t="s">
        <v>1573</v>
      </c>
    </row>
    <row r="250" spans="1:4" ht="18" customHeight="1" x14ac:dyDescent="0.15">
      <c r="A250" s="70" t="s">
        <v>784</v>
      </c>
      <c r="B250" s="69" t="s">
        <v>5421</v>
      </c>
      <c r="C250" s="62" t="s">
        <v>1630</v>
      </c>
      <c r="D250" s="62" t="s">
        <v>1573</v>
      </c>
    </row>
    <row r="251" spans="1:4" ht="24" customHeight="1" x14ac:dyDescent="0.15">
      <c r="A251" s="70" t="s">
        <v>1401</v>
      </c>
      <c r="B251" s="69" t="s">
        <v>5421</v>
      </c>
      <c r="C251" s="62" t="s">
        <v>1630</v>
      </c>
      <c r="D251" s="62" t="s">
        <v>1573</v>
      </c>
    </row>
    <row r="252" spans="1:4" ht="24" customHeight="1" x14ac:dyDescent="0.15">
      <c r="A252" s="70" t="s">
        <v>1403</v>
      </c>
      <c r="B252" s="69" t="s">
        <v>5421</v>
      </c>
      <c r="C252" s="62" t="s">
        <v>1630</v>
      </c>
      <c r="D252" s="62" t="s">
        <v>1573</v>
      </c>
    </row>
    <row r="253" spans="1:4" ht="24" customHeight="1" x14ac:dyDescent="0.15">
      <c r="A253" s="70" t="s">
        <v>1405</v>
      </c>
      <c r="B253" s="68" t="s">
        <v>5421</v>
      </c>
      <c r="C253" s="62" t="s">
        <v>1627</v>
      </c>
      <c r="D253" s="63" t="s">
        <v>1628</v>
      </c>
    </row>
    <row r="254" spans="1:4" ht="24" customHeight="1" x14ac:dyDescent="0.15">
      <c r="A254" s="70" t="s">
        <v>787</v>
      </c>
      <c r="B254" s="69" t="s">
        <v>5421</v>
      </c>
      <c r="C254" s="62" t="s">
        <v>1630</v>
      </c>
      <c r="D254" s="62" t="s">
        <v>1573</v>
      </c>
    </row>
    <row r="255" spans="1:4" ht="15" customHeight="1" x14ac:dyDescent="0.15">
      <c r="A255" s="70" t="s">
        <v>788</v>
      </c>
      <c r="B255" s="69" t="s">
        <v>5421</v>
      </c>
      <c r="C255" s="62" t="s">
        <v>1630</v>
      </c>
      <c r="D255" s="62" t="s">
        <v>1573</v>
      </c>
    </row>
    <row r="256" spans="1:4" ht="24" customHeight="1" x14ac:dyDescent="0.15">
      <c r="A256" s="70" t="s">
        <v>789</v>
      </c>
      <c r="B256" s="68" t="s">
        <v>5421</v>
      </c>
      <c r="C256" s="62" t="s">
        <v>5270</v>
      </c>
      <c r="D256" s="63" t="s">
        <v>5271</v>
      </c>
    </row>
    <row r="257" spans="1:5" ht="24" customHeight="1" x14ac:dyDescent="0.15">
      <c r="A257" s="70" t="s">
        <v>790</v>
      </c>
      <c r="B257" s="69" t="s">
        <v>5421</v>
      </c>
      <c r="C257" s="62" t="s">
        <v>1630</v>
      </c>
      <c r="D257" s="62" t="s">
        <v>1573</v>
      </c>
    </row>
    <row r="258" spans="1:5" ht="21" customHeight="1" x14ac:dyDescent="0.15">
      <c r="A258" s="70" t="s">
        <v>412</v>
      </c>
      <c r="B258" s="68" t="s">
        <v>5427</v>
      </c>
      <c r="C258" s="62" t="s">
        <v>1125</v>
      </c>
      <c r="D258" s="56" t="s">
        <v>5208</v>
      </c>
    </row>
    <row r="259" spans="1:5" ht="24" customHeight="1" x14ac:dyDescent="0.15">
      <c r="A259" s="70" t="s">
        <v>791</v>
      </c>
      <c r="B259" s="68" t="s">
        <v>5427</v>
      </c>
      <c r="C259" s="62" t="s">
        <v>1594</v>
      </c>
      <c r="D259" s="56" t="s">
        <v>1582</v>
      </c>
      <c r="E259" s="56"/>
    </row>
    <row r="260" spans="1:5" ht="24" customHeight="1" x14ac:dyDescent="0.15">
      <c r="A260" s="70" t="s">
        <v>650</v>
      </c>
      <c r="B260" s="68" t="s">
        <v>5427</v>
      </c>
      <c r="C260" s="62" t="s">
        <v>1594</v>
      </c>
      <c r="D260" s="56" t="s">
        <v>1582</v>
      </c>
      <c r="E260" s="56"/>
    </row>
    <row r="261" spans="1:5" ht="15" customHeight="1" x14ac:dyDescent="0.15">
      <c r="A261" s="70" t="s">
        <v>468</v>
      </c>
      <c r="B261" s="68" t="s">
        <v>5427</v>
      </c>
      <c r="C261" s="62" t="s">
        <v>1594</v>
      </c>
      <c r="D261" s="56" t="s">
        <v>1582</v>
      </c>
      <c r="E261" s="56"/>
    </row>
    <row r="262" spans="1:5" ht="24" customHeight="1" x14ac:dyDescent="0.15">
      <c r="A262" s="70" t="s">
        <v>792</v>
      </c>
      <c r="B262" s="68" t="s">
        <v>5427</v>
      </c>
      <c r="C262" s="62" t="s">
        <v>1594</v>
      </c>
      <c r="D262" s="56" t="s">
        <v>1582</v>
      </c>
      <c r="E262" s="56"/>
    </row>
    <row r="263" spans="1:5" ht="24" customHeight="1" x14ac:dyDescent="0.15">
      <c r="A263" s="70" t="s">
        <v>470</v>
      </c>
      <c r="B263" s="68" t="s">
        <v>5427</v>
      </c>
      <c r="C263" s="62" t="s">
        <v>1594</v>
      </c>
      <c r="D263" s="56" t="s">
        <v>1582</v>
      </c>
      <c r="E263" s="56"/>
    </row>
    <row r="264" spans="1:5" ht="24" customHeight="1" x14ac:dyDescent="0.15">
      <c r="A264" s="70" t="s">
        <v>1416</v>
      </c>
      <c r="B264" s="68" t="s">
        <v>5427</v>
      </c>
      <c r="C264" s="62" t="s">
        <v>1594</v>
      </c>
      <c r="D264" s="56" t="s">
        <v>1582</v>
      </c>
    </row>
    <row r="265" spans="1:5" ht="24" customHeight="1" x14ac:dyDescent="0.15">
      <c r="A265" s="70" t="s">
        <v>793</v>
      </c>
      <c r="B265" s="68" t="s">
        <v>5427</v>
      </c>
      <c r="C265" s="62" t="s">
        <v>1594</v>
      </c>
      <c r="D265" s="56" t="s">
        <v>1582</v>
      </c>
      <c r="E265" s="56"/>
    </row>
    <row r="266" spans="1:5" ht="15" customHeight="1" x14ac:dyDescent="0.15">
      <c r="A266" s="70" t="s">
        <v>794</v>
      </c>
      <c r="B266" s="68" t="s">
        <v>5427</v>
      </c>
      <c r="C266" s="62" t="s">
        <v>1594</v>
      </c>
      <c r="D266" s="56" t="s">
        <v>1582</v>
      </c>
      <c r="E266" s="56"/>
    </row>
    <row r="267" spans="1:5" ht="24" customHeight="1" x14ac:dyDescent="0.15">
      <c r="A267" s="70" t="s">
        <v>795</v>
      </c>
      <c r="B267" s="68" t="s">
        <v>5427</v>
      </c>
      <c r="C267" s="62" t="s">
        <v>1594</v>
      </c>
      <c r="D267" s="56" t="s">
        <v>1582</v>
      </c>
      <c r="E267" s="56"/>
    </row>
    <row r="268" spans="1:5" ht="15" customHeight="1" x14ac:dyDescent="0.15">
      <c r="A268" s="70" t="s">
        <v>653</v>
      </c>
      <c r="B268" s="68" t="s">
        <v>5427</v>
      </c>
      <c r="C268" s="62" t="s">
        <v>1594</v>
      </c>
      <c r="D268" s="56" t="s">
        <v>1582</v>
      </c>
      <c r="E268" s="56"/>
    </row>
    <row r="269" spans="1:5" ht="24" customHeight="1" x14ac:dyDescent="0.15">
      <c r="A269" s="70" t="s">
        <v>1422</v>
      </c>
      <c r="B269" s="68" t="s">
        <v>5427</v>
      </c>
      <c r="C269" s="62" t="s">
        <v>5425</v>
      </c>
      <c r="D269" s="56" t="s">
        <v>1578</v>
      </c>
      <c r="E269" s="56"/>
    </row>
    <row r="270" spans="1:5" ht="24" customHeight="1" x14ac:dyDescent="0.15">
      <c r="A270" s="70" t="s">
        <v>654</v>
      </c>
      <c r="B270" s="68" t="s">
        <v>5421</v>
      </c>
      <c r="C270" s="62" t="s">
        <v>1594</v>
      </c>
      <c r="D270" s="56" t="s">
        <v>1582</v>
      </c>
      <c r="E270" s="56"/>
    </row>
    <row r="271" spans="1:5" ht="24" customHeight="1" x14ac:dyDescent="0.15">
      <c r="A271" s="70" t="s">
        <v>1425</v>
      </c>
      <c r="B271" s="68" t="s">
        <v>5421</v>
      </c>
      <c r="C271" s="62" t="s">
        <v>1594</v>
      </c>
      <c r="D271" s="56" t="s">
        <v>1582</v>
      </c>
      <c r="E271" s="56"/>
    </row>
    <row r="272" spans="1:5" ht="24" customHeight="1" x14ac:dyDescent="0.15">
      <c r="A272" s="67" t="s">
        <v>504</v>
      </c>
      <c r="B272" s="68" t="s">
        <v>5427</v>
      </c>
      <c r="C272" s="62" t="s">
        <v>1594</v>
      </c>
      <c r="D272" s="56" t="s">
        <v>1582</v>
      </c>
      <c r="E272" s="56"/>
    </row>
    <row r="273" spans="1:5" ht="24" customHeight="1" x14ac:dyDescent="0.15">
      <c r="A273" s="67" t="s">
        <v>1428</v>
      </c>
      <c r="B273" s="68" t="s">
        <v>5421</v>
      </c>
      <c r="C273" s="62" t="s">
        <v>1594</v>
      </c>
      <c r="D273" s="56" t="s">
        <v>1582</v>
      </c>
      <c r="E273" s="56"/>
    </row>
    <row r="274" spans="1:5" ht="24" customHeight="1" x14ac:dyDescent="0.15">
      <c r="A274" s="67" t="s">
        <v>796</v>
      </c>
      <c r="B274" s="68" t="s">
        <v>5427</v>
      </c>
      <c r="C274" s="62" t="s">
        <v>1594</v>
      </c>
      <c r="D274" s="56" t="s">
        <v>1582</v>
      </c>
      <c r="E274" s="56"/>
    </row>
    <row r="275" spans="1:5" ht="24" customHeight="1" x14ac:dyDescent="0.15">
      <c r="A275" s="67" t="s">
        <v>797</v>
      </c>
      <c r="B275" s="68" t="s">
        <v>5427</v>
      </c>
      <c r="C275" s="62" t="s">
        <v>1594</v>
      </c>
      <c r="D275" s="56" t="s">
        <v>1582</v>
      </c>
      <c r="E275" s="56"/>
    </row>
    <row r="276" spans="1:5" ht="18" customHeight="1" x14ac:dyDescent="0.15">
      <c r="A276" s="67" t="s">
        <v>1158</v>
      </c>
      <c r="B276" s="68" t="s">
        <v>5427</v>
      </c>
      <c r="C276" s="62" t="s">
        <v>1592</v>
      </c>
      <c r="D276" s="56" t="s">
        <v>5228</v>
      </c>
    </row>
    <row r="277" spans="1:5" ht="24" customHeight="1" x14ac:dyDescent="0.15">
      <c r="A277" s="67" t="s">
        <v>685</v>
      </c>
      <c r="B277" s="68" t="s">
        <v>5427</v>
      </c>
      <c r="C277" s="62" t="s">
        <v>1125</v>
      </c>
      <c r="D277" s="56" t="s">
        <v>1579</v>
      </c>
      <c r="E277" s="56"/>
    </row>
    <row r="278" spans="1:5" ht="24" customHeight="1" x14ac:dyDescent="0.15">
      <c r="A278" s="67" t="s">
        <v>686</v>
      </c>
      <c r="B278" s="68" t="s">
        <v>5427</v>
      </c>
      <c r="C278" s="62" t="s">
        <v>1125</v>
      </c>
      <c r="D278" s="56" t="s">
        <v>1579</v>
      </c>
    </row>
    <row r="279" spans="1:5" ht="24" customHeight="1" x14ac:dyDescent="0.15">
      <c r="A279" s="67" t="s">
        <v>5209</v>
      </c>
      <c r="B279" s="68" t="s">
        <v>5427</v>
      </c>
      <c r="C279" s="62" t="s">
        <v>1125</v>
      </c>
      <c r="D279" s="56" t="s">
        <v>1579</v>
      </c>
      <c r="E279" s="56"/>
    </row>
    <row r="280" spans="1:5" ht="24" customHeight="1" x14ac:dyDescent="0.15">
      <c r="A280" s="67" t="s">
        <v>604</v>
      </c>
      <c r="B280" s="68" t="s">
        <v>5421</v>
      </c>
      <c r="C280" s="62" t="s">
        <v>1644</v>
      </c>
      <c r="D280" s="56" t="s">
        <v>5261</v>
      </c>
    </row>
    <row r="281" spans="1:5" ht="19" customHeight="1" x14ac:dyDescent="0.15">
      <c r="A281" s="67" t="s">
        <v>1433</v>
      </c>
      <c r="B281" s="68" t="s">
        <v>5427</v>
      </c>
      <c r="C281" s="62" t="s">
        <v>5272</v>
      </c>
      <c r="D281" s="56" t="s">
        <v>5273</v>
      </c>
    </row>
    <row r="282" spans="1:5" ht="22" customHeight="1" x14ac:dyDescent="0.15">
      <c r="A282" s="67" t="s">
        <v>1437</v>
      </c>
      <c r="B282" s="68" t="s">
        <v>5427</v>
      </c>
      <c r="C282" s="62" t="s">
        <v>5221</v>
      </c>
      <c r="D282" s="56" t="s">
        <v>5220</v>
      </c>
    </row>
    <row r="283" spans="1:5" ht="24" customHeight="1" x14ac:dyDescent="0.15">
      <c r="A283" s="67" t="s">
        <v>799</v>
      </c>
      <c r="B283" s="68" t="s">
        <v>5427</v>
      </c>
      <c r="C283" s="62" t="s">
        <v>1635</v>
      </c>
      <c r="D283" s="56" t="s">
        <v>5220</v>
      </c>
    </row>
    <row r="284" spans="1:5" ht="24" customHeight="1" x14ac:dyDescent="0.15">
      <c r="A284" s="67" t="s">
        <v>800</v>
      </c>
      <c r="B284" s="68" t="s">
        <v>5427</v>
      </c>
      <c r="C284" s="62" t="s">
        <v>1635</v>
      </c>
      <c r="D284" s="56" t="s">
        <v>5220</v>
      </c>
    </row>
    <row r="285" spans="1:5" ht="24" customHeight="1" x14ac:dyDescent="0.15">
      <c r="A285" s="67" t="s">
        <v>801</v>
      </c>
      <c r="B285" s="68" t="s">
        <v>5427</v>
      </c>
      <c r="C285" s="62" t="s">
        <v>1635</v>
      </c>
      <c r="D285" s="56" t="s">
        <v>5220</v>
      </c>
    </row>
    <row r="286" spans="1:5" ht="24" customHeight="1" x14ac:dyDescent="0.15">
      <c r="A286" s="67" t="s">
        <v>525</v>
      </c>
      <c r="B286" s="68" t="s">
        <v>5427</v>
      </c>
      <c r="C286" s="62" t="s">
        <v>1635</v>
      </c>
      <c r="D286" s="56" t="s">
        <v>5220</v>
      </c>
    </row>
    <row r="287" spans="1:5" ht="24" customHeight="1" x14ac:dyDescent="0.15">
      <c r="A287" s="67" t="s">
        <v>533</v>
      </c>
      <c r="B287" s="68" t="s">
        <v>5427</v>
      </c>
      <c r="C287" s="62" t="s">
        <v>1635</v>
      </c>
      <c r="D287" s="56" t="s">
        <v>5220</v>
      </c>
    </row>
    <row r="288" spans="1:5" ht="24" customHeight="1" x14ac:dyDescent="0.15">
      <c r="A288" s="67" t="s">
        <v>5268</v>
      </c>
      <c r="B288" s="68" t="s">
        <v>5428</v>
      </c>
      <c r="C288" s="62" t="s">
        <v>1595</v>
      </c>
      <c r="D288" s="56" t="s">
        <v>1596</v>
      </c>
    </row>
    <row r="289" spans="1:4" ht="24" customHeight="1" x14ac:dyDescent="0.15">
      <c r="A289" s="67" t="s">
        <v>426</v>
      </c>
      <c r="B289" s="68" t="s">
        <v>5428</v>
      </c>
      <c r="C289" s="62" t="s">
        <v>1595</v>
      </c>
      <c r="D289" s="56" t="s">
        <v>1596</v>
      </c>
    </row>
    <row r="290" spans="1:4" ht="24" customHeight="1" x14ac:dyDescent="0.15">
      <c r="A290" s="67" t="s">
        <v>5269</v>
      </c>
      <c r="B290" s="68" t="s">
        <v>5428</v>
      </c>
      <c r="C290" s="62" t="s">
        <v>1595</v>
      </c>
      <c r="D290" s="56" t="s">
        <v>1596</v>
      </c>
    </row>
    <row r="291" spans="1:4" ht="24" customHeight="1" x14ac:dyDescent="0.15">
      <c r="A291" s="67" t="s">
        <v>687</v>
      </c>
      <c r="B291" s="68" t="s">
        <v>5421</v>
      </c>
      <c r="C291" s="62" t="s">
        <v>1598</v>
      </c>
      <c r="D291" s="56" t="s">
        <v>1599</v>
      </c>
    </row>
    <row r="292" spans="1:4" ht="24" customHeight="1" x14ac:dyDescent="0.15">
      <c r="A292" s="67" t="s">
        <v>711</v>
      </c>
      <c r="B292" s="68" t="s">
        <v>5427</v>
      </c>
      <c r="C292" s="62" t="s">
        <v>1395</v>
      </c>
      <c r="D292" s="56" t="s">
        <v>1612</v>
      </c>
    </row>
    <row r="293" spans="1:4" ht="28" customHeight="1" x14ac:dyDescent="0.15">
      <c r="A293" s="67" t="s">
        <v>522</v>
      </c>
      <c r="B293" s="68" t="s">
        <v>5427</v>
      </c>
      <c r="C293" s="62" t="s">
        <v>1395</v>
      </c>
      <c r="D293" s="56" t="s">
        <v>1612</v>
      </c>
    </row>
    <row r="294" spans="1:4" ht="30" customHeight="1" x14ac:dyDescent="0.15">
      <c r="A294" s="67" t="s">
        <v>541</v>
      </c>
      <c r="B294" s="68" t="s">
        <v>5421</v>
      </c>
      <c r="C294" s="62" t="s">
        <v>5210</v>
      </c>
      <c r="D294" s="56" t="s">
        <v>5411</v>
      </c>
    </row>
    <row r="295" spans="1:4" ht="30" customHeight="1" x14ac:dyDescent="0.15">
      <c r="A295" s="67" t="s">
        <v>1214</v>
      </c>
      <c r="B295" s="68" t="s">
        <v>5427</v>
      </c>
      <c r="C295" s="62" t="s">
        <v>5211</v>
      </c>
      <c r="D295" s="56" t="s">
        <v>1612</v>
      </c>
    </row>
    <row r="296" spans="1:4" ht="29" customHeight="1" x14ac:dyDescent="0.15">
      <c r="A296" s="67" t="s">
        <v>1216</v>
      </c>
      <c r="B296" s="68" t="s">
        <v>5427</v>
      </c>
      <c r="C296" s="62" t="s">
        <v>1395</v>
      </c>
      <c r="D296" s="56" t="s">
        <v>1612</v>
      </c>
    </row>
    <row r="297" spans="1:4" ht="28" customHeight="1" x14ac:dyDescent="0.15">
      <c r="A297" s="67" t="s">
        <v>713</v>
      </c>
      <c r="B297" s="68" t="s">
        <v>5427</v>
      </c>
      <c r="C297" s="62" t="s">
        <v>1395</v>
      </c>
      <c r="D297" s="56" t="s">
        <v>1612</v>
      </c>
    </row>
    <row r="298" spans="1:4" ht="36" customHeight="1" x14ac:dyDescent="0.15">
      <c r="A298" s="67" t="s">
        <v>543</v>
      </c>
      <c r="B298" s="68" t="s">
        <v>5427</v>
      </c>
      <c r="C298" s="62" t="s">
        <v>1395</v>
      </c>
      <c r="D298" s="56" t="s">
        <v>1612</v>
      </c>
    </row>
    <row r="299" spans="1:4" ht="24" customHeight="1" x14ac:dyDescent="0.15">
      <c r="A299" s="67" t="s">
        <v>1220</v>
      </c>
      <c r="B299" s="68" t="s">
        <v>5427</v>
      </c>
      <c r="C299" s="62" t="s">
        <v>1395</v>
      </c>
      <c r="D299" s="56" t="s">
        <v>1612</v>
      </c>
    </row>
    <row r="300" spans="1:4" ht="24" customHeight="1" x14ac:dyDescent="0.15">
      <c r="A300" s="67" t="s">
        <v>436</v>
      </c>
      <c r="B300" s="68" t="s">
        <v>5428</v>
      </c>
      <c r="C300" s="62" t="s">
        <v>1643</v>
      </c>
      <c r="D300" s="56" t="s">
        <v>1583</v>
      </c>
    </row>
    <row r="301" spans="1:4" ht="24" customHeight="1" x14ac:dyDescent="0.15">
      <c r="A301" s="67" t="s">
        <v>408</v>
      </c>
      <c r="B301" s="68" t="s">
        <v>5428</v>
      </c>
      <c r="C301" s="62" t="s">
        <v>1643</v>
      </c>
      <c r="D301" s="56" t="s">
        <v>1583</v>
      </c>
    </row>
    <row r="302" spans="1:4" ht="24" customHeight="1" x14ac:dyDescent="0.15">
      <c r="A302" s="67" t="s">
        <v>479</v>
      </c>
      <c r="B302" s="68" t="s">
        <v>5427</v>
      </c>
      <c r="C302" s="62" t="s">
        <v>205</v>
      </c>
      <c r="D302" s="56" t="s">
        <v>1608</v>
      </c>
    </row>
    <row r="303" spans="1:4" ht="24" customHeight="1" x14ac:dyDescent="0.15">
      <c r="A303" s="67" t="s">
        <v>837</v>
      </c>
      <c r="B303" s="68" t="s">
        <v>5427</v>
      </c>
      <c r="C303" s="62" t="s">
        <v>1639</v>
      </c>
      <c r="D303" s="56" t="s">
        <v>5227</v>
      </c>
    </row>
    <row r="304" spans="1:4" ht="24" customHeight="1" x14ac:dyDescent="0.15">
      <c r="A304" s="67" t="s">
        <v>688</v>
      </c>
      <c r="B304" s="68" t="s">
        <v>5427</v>
      </c>
      <c r="C304" s="62" t="s">
        <v>1598</v>
      </c>
      <c r="D304" s="56" t="s">
        <v>1599</v>
      </c>
    </row>
    <row r="305" spans="1:4" ht="24" customHeight="1" x14ac:dyDescent="0.15">
      <c r="A305" s="67" t="s">
        <v>605</v>
      </c>
      <c r="B305" s="68" t="s">
        <v>5427</v>
      </c>
      <c r="C305" s="62" t="s">
        <v>1613</v>
      </c>
      <c r="D305" s="56" t="s">
        <v>5408</v>
      </c>
    </row>
    <row r="306" spans="1:4" ht="24" customHeight="1" x14ac:dyDescent="0.15">
      <c r="A306" s="67" t="s">
        <v>762</v>
      </c>
      <c r="B306" s="68" t="s">
        <v>5428</v>
      </c>
      <c r="C306" s="62" t="s">
        <v>205</v>
      </c>
      <c r="D306" s="56" t="s">
        <v>1608</v>
      </c>
    </row>
    <row r="307" spans="1:4" ht="24" customHeight="1" x14ac:dyDescent="0.15">
      <c r="A307" s="67" t="s">
        <v>586</v>
      </c>
      <c r="B307" s="68" t="s">
        <v>5421</v>
      </c>
      <c r="C307" s="62" t="s">
        <v>1623</v>
      </c>
      <c r="D307" s="56" t="s">
        <v>1624</v>
      </c>
    </row>
    <row r="308" spans="1:4" ht="24" customHeight="1" x14ac:dyDescent="0.15">
      <c r="A308" s="67" t="s">
        <v>763</v>
      </c>
      <c r="B308" s="68" t="s">
        <v>5421</v>
      </c>
      <c r="C308" s="62" t="s">
        <v>1640</v>
      </c>
      <c r="D308" s="56" t="s">
        <v>5264</v>
      </c>
    </row>
    <row r="309" spans="1:4" ht="21" customHeight="1" x14ac:dyDescent="0.15">
      <c r="A309" s="67" t="s">
        <v>432</v>
      </c>
      <c r="B309" s="68" t="s">
        <v>5421</v>
      </c>
      <c r="C309" s="62" t="s">
        <v>205</v>
      </c>
      <c r="D309" s="56" t="s">
        <v>5262</v>
      </c>
    </row>
    <row r="310" spans="1:4" ht="24" customHeight="1" x14ac:dyDescent="0.15">
      <c r="A310" s="67" t="s">
        <v>1343</v>
      </c>
      <c r="B310" s="68" t="s">
        <v>5427</v>
      </c>
      <c r="C310" s="62" t="s">
        <v>5263</v>
      </c>
      <c r="D310" s="56" t="s">
        <v>1579</v>
      </c>
    </row>
    <row r="311" spans="1:4" ht="24" customHeight="1" x14ac:dyDescent="0.15">
      <c r="A311" s="67" t="s">
        <v>765</v>
      </c>
      <c r="B311" s="68" t="s">
        <v>5427</v>
      </c>
      <c r="C311" s="62" t="s">
        <v>1125</v>
      </c>
      <c r="D311" s="56" t="s">
        <v>1579</v>
      </c>
    </row>
    <row r="312" spans="1:4" ht="24" customHeight="1" x14ac:dyDescent="0.15">
      <c r="A312" s="67" t="s">
        <v>433</v>
      </c>
      <c r="B312" s="68" t="s">
        <v>5421</v>
      </c>
      <c r="C312" s="62" t="s">
        <v>1623</v>
      </c>
      <c r="D312" s="56" t="s">
        <v>1624</v>
      </c>
    </row>
    <row r="313" spans="1:4" ht="24" customHeight="1" x14ac:dyDescent="0.15">
      <c r="A313" s="67" t="s">
        <v>1347</v>
      </c>
      <c r="B313" s="68" t="s">
        <v>5421</v>
      </c>
      <c r="C313" s="62" t="s">
        <v>1125</v>
      </c>
      <c r="D313" s="56" t="s">
        <v>1579</v>
      </c>
    </row>
    <row r="314" spans="1:4" ht="15" customHeight="1" x14ac:dyDescent="0.15">
      <c r="A314" s="67" t="s">
        <v>587</v>
      </c>
      <c r="B314" s="68" t="s">
        <v>5428</v>
      </c>
      <c r="C314" s="62" t="s">
        <v>1623</v>
      </c>
      <c r="D314" s="56" t="s">
        <v>1624</v>
      </c>
    </row>
    <row r="315" spans="1:4" ht="24" customHeight="1" x14ac:dyDescent="0.15">
      <c r="A315" s="67" t="s">
        <v>505</v>
      </c>
      <c r="B315" s="68" t="s">
        <v>5427</v>
      </c>
      <c r="C315" s="62" t="s">
        <v>1125</v>
      </c>
      <c r="D315" s="56" t="s">
        <v>1579</v>
      </c>
    </row>
    <row r="316" spans="1:4" ht="18" customHeight="1" x14ac:dyDescent="0.15">
      <c r="A316" s="67" t="s">
        <v>389</v>
      </c>
      <c r="B316" s="68" t="s">
        <v>5427</v>
      </c>
      <c r="C316" s="62" t="s">
        <v>1125</v>
      </c>
      <c r="D316" s="56" t="s">
        <v>1579</v>
      </c>
    </row>
    <row r="317" spans="1:4" ht="24" customHeight="1" x14ac:dyDescent="0.15">
      <c r="A317" s="67" t="s">
        <v>1352</v>
      </c>
      <c r="B317" s="68" t="s">
        <v>5421</v>
      </c>
      <c r="C317" s="62" t="s">
        <v>1626</v>
      </c>
      <c r="D317" s="56" t="s">
        <v>5213</v>
      </c>
    </row>
    <row r="318" spans="1:4" ht="23" customHeight="1" x14ac:dyDescent="0.15">
      <c r="A318" s="67" t="s">
        <v>767</v>
      </c>
      <c r="B318" s="68" t="s">
        <v>5421</v>
      </c>
      <c r="C318" s="62" t="s">
        <v>1607</v>
      </c>
      <c r="D318" s="56" t="s">
        <v>5231</v>
      </c>
    </row>
    <row r="319" spans="1:4" ht="22" customHeight="1" x14ac:dyDescent="0.15">
      <c r="A319" s="67" t="s">
        <v>380</v>
      </c>
      <c r="B319" s="68" t="s">
        <v>5427</v>
      </c>
      <c r="C319" s="62" t="s">
        <v>1623</v>
      </c>
      <c r="D319" s="56" t="s">
        <v>1624</v>
      </c>
    </row>
    <row r="320" spans="1:4" ht="22" customHeight="1" x14ac:dyDescent="0.15">
      <c r="A320" s="67" t="s">
        <v>626</v>
      </c>
      <c r="B320" s="68" t="s">
        <v>5427</v>
      </c>
      <c r="C320" s="62" t="s">
        <v>1623</v>
      </c>
      <c r="D320" s="56" t="s">
        <v>1624</v>
      </c>
    </row>
    <row r="321" spans="1:4" ht="24" customHeight="1" x14ac:dyDescent="0.15">
      <c r="A321" s="67" t="s">
        <v>780</v>
      </c>
      <c r="B321" s="68" t="s">
        <v>5427</v>
      </c>
      <c r="C321" s="62" t="s">
        <v>1395</v>
      </c>
      <c r="D321" s="56" t="s">
        <v>1612</v>
      </c>
    </row>
    <row r="322" spans="1:4" ht="18" customHeight="1" x14ac:dyDescent="0.15">
      <c r="A322" s="67" t="s">
        <v>1389</v>
      </c>
      <c r="B322" s="68" t="s">
        <v>5427</v>
      </c>
      <c r="C322" s="62" t="s">
        <v>1395</v>
      </c>
      <c r="D322" s="56" t="s">
        <v>1612</v>
      </c>
    </row>
    <row r="323" spans="1:4" ht="24" customHeight="1" x14ac:dyDescent="0.15">
      <c r="A323" s="67" t="s">
        <v>1391</v>
      </c>
      <c r="B323" s="68" t="s">
        <v>5427</v>
      </c>
      <c r="C323" s="62" t="s">
        <v>5212</v>
      </c>
      <c r="D323" s="56" t="s">
        <v>1612</v>
      </c>
    </row>
    <row r="324" spans="1:4" ht="24" customHeight="1" x14ac:dyDescent="0.15">
      <c r="A324" s="67" t="s">
        <v>782</v>
      </c>
      <c r="B324" s="68" t="s">
        <v>5427</v>
      </c>
      <c r="C324" s="62" t="s">
        <v>1395</v>
      </c>
      <c r="D324" s="56" t="s">
        <v>1612</v>
      </c>
    </row>
    <row r="325" spans="1:4" ht="26" customHeight="1" x14ac:dyDescent="0.15">
      <c r="A325" s="67" t="s">
        <v>510</v>
      </c>
      <c r="B325" s="68" t="s">
        <v>5427</v>
      </c>
      <c r="C325" s="62" t="s">
        <v>1588</v>
      </c>
      <c r="D325" s="56" t="s">
        <v>5226</v>
      </c>
    </row>
    <row r="326" spans="1:4" ht="24" customHeight="1" x14ac:dyDescent="0.15">
      <c r="A326" s="67" t="s">
        <v>1396</v>
      </c>
      <c r="B326" s="68" t="s">
        <v>5427</v>
      </c>
      <c r="C326" s="62" t="s">
        <v>1616</v>
      </c>
      <c r="D326" s="56" t="s">
        <v>5225</v>
      </c>
    </row>
    <row r="327" spans="1:4" ht="24" customHeight="1" x14ac:dyDescent="0.15">
      <c r="A327" s="67" t="s">
        <v>394</v>
      </c>
      <c r="B327" s="68" t="s">
        <v>5428</v>
      </c>
      <c r="C327" s="62" t="s">
        <v>1595</v>
      </c>
      <c r="D327" s="56" t="s">
        <v>1596</v>
      </c>
    </row>
    <row r="328" spans="1:4" ht="15" customHeight="1" x14ac:dyDescent="0.15">
      <c r="A328" s="67" t="s">
        <v>544</v>
      </c>
      <c r="B328" s="68" t="s">
        <v>5428</v>
      </c>
      <c r="C328" s="62" t="s">
        <v>1623</v>
      </c>
      <c r="D328" s="56" t="s">
        <v>1624</v>
      </c>
    </row>
    <row r="329" spans="1:4" ht="24" customHeight="1" x14ac:dyDescent="0.15">
      <c r="A329" s="67" t="s">
        <v>1223</v>
      </c>
      <c r="B329" s="68" t="s">
        <v>5421</v>
      </c>
      <c r="C329" s="62" t="s">
        <v>1623</v>
      </c>
      <c r="D329" s="56" t="s">
        <v>1624</v>
      </c>
    </row>
    <row r="330" spans="1:4" ht="15" customHeight="1" x14ac:dyDescent="0.15">
      <c r="A330" s="67" t="s">
        <v>1225</v>
      </c>
      <c r="B330" s="68" t="s">
        <v>5428</v>
      </c>
      <c r="C330" s="62" t="s">
        <v>1623</v>
      </c>
      <c r="D330" s="56" t="s">
        <v>1624</v>
      </c>
    </row>
    <row r="331" spans="1:4" ht="21" customHeight="1" x14ac:dyDescent="0.15">
      <c r="A331" s="67" t="s">
        <v>1227</v>
      </c>
      <c r="B331" s="68" t="s">
        <v>5428</v>
      </c>
      <c r="C331" s="62" t="s">
        <v>1395</v>
      </c>
      <c r="D331" s="56" t="s">
        <v>1612</v>
      </c>
    </row>
    <row r="332" spans="1:4" ht="15" customHeight="1" x14ac:dyDescent="0.15">
      <c r="A332" s="67" t="s">
        <v>1521</v>
      </c>
      <c r="B332" s="68" t="s">
        <v>5428</v>
      </c>
      <c r="C332" s="62" t="s">
        <v>1643</v>
      </c>
      <c r="D332" s="56" t="s">
        <v>1583</v>
      </c>
    </row>
    <row r="333" spans="1:4" ht="24" customHeight="1" x14ac:dyDescent="0.15">
      <c r="A333" s="67" t="s">
        <v>1523</v>
      </c>
      <c r="B333" s="68" t="s">
        <v>5428</v>
      </c>
      <c r="C333" s="62" t="s">
        <v>1643</v>
      </c>
      <c r="D333" s="56" t="s">
        <v>1583</v>
      </c>
    </row>
    <row r="334" spans="1:4" ht="15" customHeight="1" x14ac:dyDescent="0.15">
      <c r="A334" s="67" t="s">
        <v>1525</v>
      </c>
      <c r="B334" s="68" t="s">
        <v>5428</v>
      </c>
      <c r="C334" s="62" t="s">
        <v>1643</v>
      </c>
      <c r="D334" s="56" t="s">
        <v>1583</v>
      </c>
    </row>
    <row r="335" spans="1:4" ht="24" customHeight="1" x14ac:dyDescent="0.15">
      <c r="A335" s="67" t="s">
        <v>1527</v>
      </c>
      <c r="B335" s="68" t="s">
        <v>5428</v>
      </c>
      <c r="C335" s="62" t="s">
        <v>1643</v>
      </c>
      <c r="D335" s="56" t="s">
        <v>1583</v>
      </c>
    </row>
    <row r="336" spans="1:4" ht="24" customHeight="1" x14ac:dyDescent="0.15">
      <c r="A336" s="67" t="s">
        <v>1529</v>
      </c>
      <c r="B336" s="68" t="s">
        <v>5428</v>
      </c>
      <c r="C336" s="62" t="s">
        <v>1643</v>
      </c>
      <c r="D336" s="56" t="s">
        <v>1583</v>
      </c>
    </row>
    <row r="337" spans="1:5" ht="23" customHeight="1" x14ac:dyDescent="0.15">
      <c r="A337" s="67" t="s">
        <v>718</v>
      </c>
      <c r="B337" s="68" t="s">
        <v>5421</v>
      </c>
      <c r="C337" s="62" t="s">
        <v>1576</v>
      </c>
      <c r="D337" s="59" t="s">
        <v>1577</v>
      </c>
    </row>
    <row r="338" spans="1:5" ht="20" customHeight="1" x14ac:dyDescent="0.15">
      <c r="A338" s="67" t="s">
        <v>719</v>
      </c>
      <c r="B338" s="68" t="s">
        <v>5427</v>
      </c>
      <c r="C338" s="62" t="s">
        <v>1125</v>
      </c>
      <c r="D338" s="56" t="s">
        <v>1579</v>
      </c>
    </row>
    <row r="339" spans="1:5" ht="22" customHeight="1" x14ac:dyDescent="0.15">
      <c r="A339" s="67" t="s">
        <v>1231</v>
      </c>
      <c r="B339" s="68" t="s">
        <v>5427</v>
      </c>
      <c r="C339" s="62" t="s">
        <v>1125</v>
      </c>
      <c r="D339" s="56" t="s">
        <v>1579</v>
      </c>
    </row>
    <row r="340" spans="1:5" ht="24" customHeight="1" x14ac:dyDescent="0.15">
      <c r="A340" s="67" t="s">
        <v>519</v>
      </c>
      <c r="B340" s="68" t="s">
        <v>5421</v>
      </c>
      <c r="C340" s="62" t="s">
        <v>5246</v>
      </c>
      <c r="D340" s="56" t="s">
        <v>1579</v>
      </c>
    </row>
    <row r="341" spans="1:5" ht="24" customHeight="1" x14ac:dyDescent="0.15">
      <c r="A341" s="67" t="s">
        <v>556</v>
      </c>
      <c r="B341" s="68" t="s">
        <v>5427</v>
      </c>
      <c r="C341" s="62" t="s">
        <v>1584</v>
      </c>
      <c r="D341" s="56" t="s">
        <v>1579</v>
      </c>
      <c r="E341" s="56"/>
    </row>
    <row r="342" spans="1:5" ht="23" customHeight="1" x14ac:dyDescent="0.15">
      <c r="A342" s="67" t="s">
        <v>614</v>
      </c>
      <c r="B342" s="68" t="s">
        <v>5427</v>
      </c>
      <c r="C342" s="62" t="s">
        <v>1623</v>
      </c>
      <c r="D342" s="56" t="s">
        <v>1624</v>
      </c>
    </row>
    <row r="343" spans="1:5" ht="20" customHeight="1" x14ac:dyDescent="0.15">
      <c r="A343" s="67" t="s">
        <v>1236</v>
      </c>
      <c r="B343" s="68" t="s">
        <v>5427</v>
      </c>
      <c r="C343" s="62" t="s">
        <v>1623</v>
      </c>
      <c r="D343" s="56" t="s">
        <v>1624</v>
      </c>
    </row>
    <row r="344" spans="1:5" ht="28" customHeight="1" x14ac:dyDescent="0.15">
      <c r="A344" s="67" t="s">
        <v>1238</v>
      </c>
      <c r="B344" s="69" t="s">
        <v>5427</v>
      </c>
      <c r="C344" s="62" t="s">
        <v>5412</v>
      </c>
      <c r="D344" s="56" t="s">
        <v>1632</v>
      </c>
    </row>
    <row r="345" spans="1:5" ht="15" customHeight="1" x14ac:dyDescent="0.15">
      <c r="A345" s="67" t="s">
        <v>721</v>
      </c>
      <c r="B345" s="68" t="s">
        <v>5427</v>
      </c>
      <c r="C345" s="62" t="s">
        <v>1623</v>
      </c>
      <c r="D345" s="56" t="s">
        <v>1624</v>
      </c>
    </row>
    <row r="346" spans="1:5" ht="15" customHeight="1" x14ac:dyDescent="0.15">
      <c r="A346" s="67" t="s">
        <v>1241</v>
      </c>
      <c r="B346" s="68" t="s">
        <v>5427</v>
      </c>
      <c r="C346" s="62" t="s">
        <v>1623</v>
      </c>
      <c r="D346" s="56" t="s">
        <v>1624</v>
      </c>
    </row>
    <row r="347" spans="1:5" ht="24" customHeight="1" x14ac:dyDescent="0.15">
      <c r="A347" s="67" t="s">
        <v>1243</v>
      </c>
      <c r="B347" s="69" t="s">
        <v>5426</v>
      </c>
      <c r="C347" s="62" t="s">
        <v>5224</v>
      </c>
      <c r="D347" s="56" t="s">
        <v>1612</v>
      </c>
    </row>
    <row r="348" spans="1:5" ht="24" customHeight="1" x14ac:dyDescent="0.15">
      <c r="A348" s="67" t="s">
        <v>1245</v>
      </c>
      <c r="B348" s="68" t="s">
        <v>5421</v>
      </c>
      <c r="C348" s="62" t="s">
        <v>1618</v>
      </c>
      <c r="D348" s="56" t="s">
        <v>5215</v>
      </c>
    </row>
    <row r="349" spans="1:5" ht="24" customHeight="1" x14ac:dyDescent="0.15">
      <c r="A349" s="67" t="s">
        <v>1247</v>
      </c>
      <c r="B349" s="68" t="s">
        <v>5427</v>
      </c>
      <c r="C349" s="62" t="s">
        <v>1623</v>
      </c>
      <c r="D349" s="56" t="s">
        <v>1624</v>
      </c>
    </row>
    <row r="350" spans="1:5" ht="24" customHeight="1" x14ac:dyDescent="0.15">
      <c r="A350" s="67" t="s">
        <v>1249</v>
      </c>
      <c r="B350" s="68" t="s">
        <v>5421</v>
      </c>
      <c r="C350" s="62" t="s">
        <v>1618</v>
      </c>
      <c r="D350" s="56" t="s">
        <v>5215</v>
      </c>
    </row>
    <row r="351" spans="1:5" ht="18" customHeight="1" x14ac:dyDescent="0.15">
      <c r="A351" s="67" t="s">
        <v>1251</v>
      </c>
      <c r="B351" s="68" t="s">
        <v>5427</v>
      </c>
      <c r="C351" s="62" t="s">
        <v>1623</v>
      </c>
      <c r="D351" s="56" t="s">
        <v>1624</v>
      </c>
    </row>
    <row r="352" spans="1:5" ht="24" customHeight="1" x14ac:dyDescent="0.15">
      <c r="A352" s="67" t="s">
        <v>723</v>
      </c>
      <c r="B352" s="68" t="s">
        <v>5427</v>
      </c>
      <c r="C352" s="62" t="s">
        <v>1623</v>
      </c>
      <c r="D352" s="56" t="s">
        <v>1624</v>
      </c>
    </row>
    <row r="353" spans="1:4" ht="24" customHeight="1" x14ac:dyDescent="0.15">
      <c r="A353" s="67" t="s">
        <v>457</v>
      </c>
      <c r="B353" s="68" t="s">
        <v>5427</v>
      </c>
      <c r="C353" s="62" t="s">
        <v>205</v>
      </c>
      <c r="D353" s="56" t="s">
        <v>5180</v>
      </c>
    </row>
    <row r="354" spans="1:4" ht="15" customHeight="1" x14ac:dyDescent="0.15">
      <c r="A354" s="67" t="s">
        <v>592</v>
      </c>
      <c r="B354" s="68" t="s">
        <v>5428</v>
      </c>
      <c r="C354" s="62" t="s">
        <v>332</v>
      </c>
      <c r="D354" s="56" t="s">
        <v>5247</v>
      </c>
    </row>
    <row r="355" spans="1:4" x14ac:dyDescent="0.15">
      <c r="B355" s="71"/>
      <c r="C355" s="72"/>
    </row>
    <row r="356" spans="1:4" x14ac:dyDescent="0.15">
      <c r="B356" s="71"/>
      <c r="C356" s="72"/>
    </row>
    <row r="357" spans="1:4" x14ac:dyDescent="0.15">
      <c r="B357" s="71"/>
      <c r="C357" s="72"/>
    </row>
  </sheetData>
  <sortState xmlns:xlrd2="http://schemas.microsoft.com/office/spreadsheetml/2017/richdata2" ref="A2:F357">
    <sortCondition ref="A2:A357"/>
  </sortState>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4"/>
  <sheetViews>
    <sheetView topLeftCell="A128" workbookViewId="0">
      <selection activeCell="E130" sqref="E130"/>
    </sheetView>
  </sheetViews>
  <sheetFormatPr baseColWidth="10" defaultColWidth="8.83203125" defaultRowHeight="13" x14ac:dyDescent="0.15"/>
  <cols>
    <col min="1" max="1" width="12.6640625" style="57" bestFit="1" customWidth="1"/>
    <col min="2" max="2" width="32.5" style="57" bestFit="1" customWidth="1"/>
    <col min="3" max="3" width="28.1640625" style="57" bestFit="1" customWidth="1"/>
    <col min="4" max="4" width="14.83203125" style="68" bestFit="1" customWidth="1"/>
    <col min="5" max="5" width="44.1640625" style="68" customWidth="1"/>
    <col min="6" max="6" width="202.5" style="68" customWidth="1"/>
    <col min="7" max="12" width="8.83203125" style="68"/>
    <col min="13" max="16384" width="8.83203125" style="57"/>
  </cols>
  <sheetData>
    <row r="1" spans="1:6" ht="15" customHeight="1" x14ac:dyDescent="0.15">
      <c r="A1" s="64" t="s">
        <v>0</v>
      </c>
      <c r="B1" s="64" t="s">
        <v>1</v>
      </c>
      <c r="C1" s="64" t="s">
        <v>1082</v>
      </c>
      <c r="D1" s="75" t="s">
        <v>5281</v>
      </c>
      <c r="E1" s="66" t="s">
        <v>903</v>
      </c>
    </row>
    <row r="2" spans="1:6" ht="24" customHeight="1" x14ac:dyDescent="0.15">
      <c r="A2" s="64" t="s">
        <v>16</v>
      </c>
      <c r="B2" s="67" t="s">
        <v>658</v>
      </c>
      <c r="C2" s="64" t="s">
        <v>1083</v>
      </c>
      <c r="D2" s="76" t="s">
        <v>5430</v>
      </c>
      <c r="E2" s="62" t="s">
        <v>1655</v>
      </c>
      <c r="F2" s="56" t="s">
        <v>5285</v>
      </c>
    </row>
    <row r="3" spans="1:6" ht="24" customHeight="1" x14ac:dyDescent="0.15">
      <c r="A3" s="64" t="s">
        <v>1054</v>
      </c>
      <c r="B3" s="67" t="s">
        <v>517</v>
      </c>
      <c r="C3" s="64" t="s">
        <v>1084</v>
      </c>
      <c r="D3" s="76" t="s">
        <v>5432</v>
      </c>
      <c r="E3" s="62" t="s">
        <v>1642</v>
      </c>
      <c r="F3" s="56" t="s">
        <v>5280</v>
      </c>
    </row>
    <row r="4" spans="1:6" ht="24" customHeight="1" x14ac:dyDescent="0.15">
      <c r="A4" s="64" t="s">
        <v>1054</v>
      </c>
      <c r="B4" s="67" t="s">
        <v>528</v>
      </c>
      <c r="C4" s="64" t="s">
        <v>1085</v>
      </c>
      <c r="D4" s="76" t="s">
        <v>5432</v>
      </c>
      <c r="E4" s="62" t="s">
        <v>1597</v>
      </c>
      <c r="F4" s="62" t="s">
        <v>1585</v>
      </c>
    </row>
    <row r="5" spans="1:6" ht="24" customHeight="1" x14ac:dyDescent="0.15">
      <c r="A5" s="64" t="s">
        <v>1054</v>
      </c>
      <c r="B5" s="67" t="s">
        <v>1086</v>
      </c>
      <c r="C5" s="64" t="s">
        <v>1087</v>
      </c>
      <c r="D5" s="76" t="s">
        <v>5432</v>
      </c>
      <c r="E5" s="62" t="s">
        <v>1609</v>
      </c>
      <c r="F5" s="56" t="s">
        <v>5286</v>
      </c>
    </row>
    <row r="6" spans="1:6" ht="24" customHeight="1" x14ac:dyDescent="0.15">
      <c r="A6" s="64" t="s">
        <v>1054</v>
      </c>
      <c r="B6" s="67" t="s">
        <v>564</v>
      </c>
      <c r="C6" s="64" t="s">
        <v>1088</v>
      </c>
      <c r="D6" s="76" t="s">
        <v>5432</v>
      </c>
      <c r="E6" s="62" t="s">
        <v>1647</v>
      </c>
      <c r="F6" s="62" t="s">
        <v>5287</v>
      </c>
    </row>
    <row r="7" spans="1:6" ht="24" customHeight="1" x14ac:dyDescent="0.15">
      <c r="A7" s="64" t="s">
        <v>1054</v>
      </c>
      <c r="B7" s="67" t="s">
        <v>1089</v>
      </c>
      <c r="C7" s="64" t="s">
        <v>1090</v>
      </c>
      <c r="D7" s="76" t="s">
        <v>5432</v>
      </c>
      <c r="E7" s="62" t="s">
        <v>1598</v>
      </c>
      <c r="F7" s="56" t="s">
        <v>1599</v>
      </c>
    </row>
    <row r="8" spans="1:6" ht="24" customHeight="1" x14ac:dyDescent="0.15">
      <c r="A8" s="64" t="s">
        <v>1054</v>
      </c>
      <c r="B8" s="67" t="s">
        <v>1091</v>
      </c>
      <c r="C8" s="64" t="s">
        <v>1092</v>
      </c>
      <c r="D8" s="76" t="s">
        <v>5288</v>
      </c>
      <c r="E8" s="62" t="s">
        <v>1631</v>
      </c>
    </row>
    <row r="9" spans="1:6" ht="15" customHeight="1" x14ac:dyDescent="0.15">
      <c r="A9" s="64" t="s">
        <v>1054</v>
      </c>
      <c r="B9" s="67" t="s">
        <v>1093</v>
      </c>
      <c r="C9" s="64" t="s">
        <v>1094</v>
      </c>
      <c r="D9" s="76" t="s">
        <v>5432</v>
      </c>
      <c r="E9" s="62" t="s">
        <v>1598</v>
      </c>
      <c r="F9" s="56" t="s">
        <v>1599</v>
      </c>
    </row>
    <row r="10" spans="1:6" ht="26" customHeight="1" x14ac:dyDescent="0.15">
      <c r="A10" s="64" t="s">
        <v>1054</v>
      </c>
      <c r="B10" s="67" t="s">
        <v>5284</v>
      </c>
      <c r="C10" s="64" t="s">
        <v>1095</v>
      </c>
      <c r="D10" s="76" t="s">
        <v>5432</v>
      </c>
      <c r="E10" s="62" t="s">
        <v>1641</v>
      </c>
      <c r="F10" s="56" t="s">
        <v>5267</v>
      </c>
    </row>
    <row r="11" spans="1:6" ht="24" customHeight="1" x14ac:dyDescent="0.15">
      <c r="A11" s="64" t="s">
        <v>1054</v>
      </c>
      <c r="B11" s="67" t="s">
        <v>1096</v>
      </c>
      <c r="C11" s="64" t="s">
        <v>1097</v>
      </c>
      <c r="D11" s="76" t="s">
        <v>5432</v>
      </c>
      <c r="E11" s="62" t="s">
        <v>1621</v>
      </c>
      <c r="F11" s="56" t="s">
        <v>5278</v>
      </c>
    </row>
    <row r="12" spans="1:6" ht="15" customHeight="1" x14ac:dyDescent="0.15">
      <c r="A12" s="64" t="s">
        <v>1054</v>
      </c>
      <c r="B12" s="67" t="s">
        <v>1098</v>
      </c>
      <c r="C12" s="64" t="s">
        <v>1099</v>
      </c>
      <c r="D12" s="76" t="s">
        <v>5432</v>
      </c>
      <c r="E12" s="62" t="s">
        <v>1621</v>
      </c>
      <c r="F12" s="56" t="s">
        <v>5278</v>
      </c>
    </row>
    <row r="13" spans="1:6" ht="24" customHeight="1" x14ac:dyDescent="0.15">
      <c r="A13" s="64" t="s">
        <v>1054</v>
      </c>
      <c r="B13" s="67" t="s">
        <v>1100</v>
      </c>
      <c r="C13" s="64" t="s">
        <v>1101</v>
      </c>
      <c r="D13" s="76" t="s">
        <v>5432</v>
      </c>
      <c r="E13" s="62" t="s">
        <v>1621</v>
      </c>
      <c r="F13" s="56" t="s">
        <v>5278</v>
      </c>
    </row>
    <row r="14" spans="1:6" ht="15" customHeight="1" x14ac:dyDescent="0.15">
      <c r="A14" s="64" t="s">
        <v>1054</v>
      </c>
      <c r="B14" s="67" t="s">
        <v>1102</v>
      </c>
      <c r="C14" s="64" t="s">
        <v>1103</v>
      </c>
      <c r="D14" s="76" t="s">
        <v>5432</v>
      </c>
      <c r="E14" s="62" t="s">
        <v>1656</v>
      </c>
      <c r="F14" s="56" t="s">
        <v>1599</v>
      </c>
    </row>
    <row r="15" spans="1:6" ht="15" customHeight="1" x14ac:dyDescent="0.15">
      <c r="A15" s="64" t="s">
        <v>1054</v>
      </c>
      <c r="B15" s="67" t="s">
        <v>1104</v>
      </c>
      <c r="C15" s="64" t="s">
        <v>1105</v>
      </c>
      <c r="D15" s="76" t="s">
        <v>5430</v>
      </c>
      <c r="E15" s="62" t="s">
        <v>1598</v>
      </c>
      <c r="F15" s="56" t="s">
        <v>1599</v>
      </c>
    </row>
    <row r="16" spans="1:6" ht="24" customHeight="1" x14ac:dyDescent="0.15">
      <c r="A16" s="64" t="s">
        <v>1054</v>
      </c>
      <c r="B16" s="67" t="s">
        <v>1106</v>
      </c>
      <c r="C16" s="64" t="s">
        <v>1107</v>
      </c>
      <c r="D16" s="76" t="s">
        <v>5432</v>
      </c>
      <c r="E16" s="62" t="s">
        <v>1657</v>
      </c>
      <c r="F16" s="56" t="s">
        <v>1599</v>
      </c>
    </row>
    <row r="17" spans="1:6" ht="15" customHeight="1" x14ac:dyDescent="0.15">
      <c r="A17" s="64" t="s">
        <v>1054</v>
      </c>
      <c r="B17" s="67" t="s">
        <v>5184</v>
      </c>
      <c r="C17" s="64" t="s">
        <v>1108</v>
      </c>
      <c r="D17" s="76" t="s">
        <v>1631</v>
      </c>
      <c r="E17" s="62" t="s">
        <v>1598</v>
      </c>
      <c r="F17" s="56" t="s">
        <v>1599</v>
      </c>
    </row>
    <row r="18" spans="1:6" ht="15" customHeight="1" x14ac:dyDescent="0.15">
      <c r="A18" s="64" t="s">
        <v>1054</v>
      </c>
      <c r="B18" s="67" t="s">
        <v>1109</v>
      </c>
      <c r="C18" s="64" t="s">
        <v>1110</v>
      </c>
      <c r="D18" s="76" t="s">
        <v>5432</v>
      </c>
      <c r="E18" s="62" t="s">
        <v>1598</v>
      </c>
      <c r="F18" s="56" t="s">
        <v>1599</v>
      </c>
    </row>
    <row r="19" spans="1:6" ht="24" customHeight="1" x14ac:dyDescent="0.15">
      <c r="A19" s="64" t="s">
        <v>1054</v>
      </c>
      <c r="B19" s="67" t="s">
        <v>1111</v>
      </c>
      <c r="C19" s="64" t="s">
        <v>1112</v>
      </c>
      <c r="D19" s="76" t="s">
        <v>5432</v>
      </c>
      <c r="E19" s="62" t="s">
        <v>1621</v>
      </c>
      <c r="F19" s="56" t="s">
        <v>5278</v>
      </c>
    </row>
    <row r="20" spans="1:6" ht="15" customHeight="1" x14ac:dyDescent="0.15">
      <c r="A20" s="64" t="s">
        <v>1054</v>
      </c>
      <c r="B20" s="67" t="s">
        <v>5183</v>
      </c>
      <c r="C20" s="64" t="s">
        <v>1113</v>
      </c>
      <c r="D20" s="76" t="s">
        <v>5432</v>
      </c>
      <c r="E20" s="62" t="s">
        <v>1598</v>
      </c>
      <c r="F20" s="56" t="s">
        <v>1599</v>
      </c>
    </row>
    <row r="21" spans="1:6" ht="24" customHeight="1" x14ac:dyDescent="0.15">
      <c r="A21" s="64" t="s">
        <v>1054</v>
      </c>
      <c r="B21" s="67" t="s">
        <v>1114</v>
      </c>
      <c r="C21" s="64" t="s">
        <v>1115</v>
      </c>
      <c r="D21" s="76" t="s">
        <v>5432</v>
      </c>
      <c r="E21" s="62" t="s">
        <v>1598</v>
      </c>
      <c r="F21" s="56" t="s">
        <v>1599</v>
      </c>
    </row>
    <row r="22" spans="1:6" ht="15" customHeight="1" x14ac:dyDescent="0.15">
      <c r="A22" s="64" t="s">
        <v>1054</v>
      </c>
      <c r="B22" s="67" t="s">
        <v>397</v>
      </c>
      <c r="C22" s="64" t="s">
        <v>1116</v>
      </c>
      <c r="D22" s="76" t="s">
        <v>5432</v>
      </c>
      <c r="E22" s="62" t="s">
        <v>1660</v>
      </c>
      <c r="F22" s="56" t="s">
        <v>5289</v>
      </c>
    </row>
    <row r="23" spans="1:6" ht="15" customHeight="1" x14ac:dyDescent="0.15">
      <c r="A23" s="64" t="s">
        <v>1054</v>
      </c>
      <c r="B23" s="70" t="s">
        <v>1117</v>
      </c>
      <c r="C23" s="64" t="s">
        <v>1118</v>
      </c>
      <c r="D23" s="76" t="s">
        <v>44</v>
      </c>
      <c r="E23" s="62" t="s">
        <v>1631</v>
      </c>
    </row>
    <row r="24" spans="1:6" ht="15" customHeight="1" x14ac:dyDescent="0.15">
      <c r="A24" s="64" t="s">
        <v>1054</v>
      </c>
      <c r="B24" s="70" t="s">
        <v>1119</v>
      </c>
      <c r="C24" s="64" t="s">
        <v>1120</v>
      </c>
      <c r="D24" s="76" t="s">
        <v>5435</v>
      </c>
      <c r="E24" s="62" t="s">
        <v>1598</v>
      </c>
      <c r="F24" s="56" t="s">
        <v>1599</v>
      </c>
    </row>
    <row r="25" spans="1:6" ht="24" customHeight="1" x14ac:dyDescent="0.15">
      <c r="A25" s="64" t="s">
        <v>1054</v>
      </c>
      <c r="B25" s="70" t="s">
        <v>1121</v>
      </c>
      <c r="C25" s="64" t="s">
        <v>1122</v>
      </c>
      <c r="D25" s="76" t="s">
        <v>44</v>
      </c>
      <c r="E25" s="62" t="s">
        <v>1677</v>
      </c>
      <c r="F25" s="56" t="s">
        <v>1599</v>
      </c>
    </row>
    <row r="26" spans="1:6" ht="15" customHeight="1" x14ac:dyDescent="0.15">
      <c r="A26" s="64" t="s">
        <v>1054</v>
      </c>
      <c r="B26" s="70" t="s">
        <v>1123</v>
      </c>
      <c r="C26" s="64" t="s">
        <v>1124</v>
      </c>
      <c r="D26" s="76" t="s">
        <v>5430</v>
      </c>
      <c r="E26" s="62" t="s">
        <v>1621</v>
      </c>
      <c r="F26" s="56" t="s">
        <v>5278</v>
      </c>
    </row>
    <row r="27" spans="1:6" ht="15" customHeight="1" x14ac:dyDescent="0.15">
      <c r="A27" s="64" t="s">
        <v>1054</v>
      </c>
      <c r="B27" s="70" t="s">
        <v>1126</v>
      </c>
      <c r="C27" s="64" t="s">
        <v>1127</v>
      </c>
      <c r="D27" s="76" t="s">
        <v>44</v>
      </c>
      <c r="E27" s="62" t="s">
        <v>1631</v>
      </c>
    </row>
    <row r="28" spans="1:6" ht="15" customHeight="1" x14ac:dyDescent="0.15">
      <c r="A28" s="64" t="s">
        <v>1054</v>
      </c>
      <c r="B28" s="70" t="s">
        <v>1128</v>
      </c>
      <c r="C28" s="64" t="s">
        <v>1129</v>
      </c>
      <c r="D28" s="76" t="s">
        <v>44</v>
      </c>
      <c r="E28" s="62" t="s">
        <v>1631</v>
      </c>
    </row>
    <row r="29" spans="1:6" ht="24" customHeight="1" x14ac:dyDescent="0.15">
      <c r="A29" s="64" t="s">
        <v>1054</v>
      </c>
      <c r="B29" s="70" t="s">
        <v>1130</v>
      </c>
      <c r="C29" s="64" t="s">
        <v>1131</v>
      </c>
      <c r="D29" s="76" t="s">
        <v>5435</v>
      </c>
      <c r="E29" s="62" t="s">
        <v>1601</v>
      </c>
      <c r="F29" s="56" t="s">
        <v>5290</v>
      </c>
    </row>
    <row r="30" spans="1:6" ht="15" customHeight="1" x14ac:dyDescent="0.15">
      <c r="A30" s="64" t="s">
        <v>1054</v>
      </c>
      <c r="B30" s="70" t="s">
        <v>1132</v>
      </c>
      <c r="C30" s="64" t="s">
        <v>1133</v>
      </c>
      <c r="D30" s="76" t="s">
        <v>5430</v>
      </c>
      <c r="E30" s="62" t="s">
        <v>1598</v>
      </c>
      <c r="F30" s="56" t="s">
        <v>1599</v>
      </c>
    </row>
    <row r="31" spans="1:6" ht="24" customHeight="1" x14ac:dyDescent="0.15">
      <c r="A31" s="64" t="s">
        <v>1054</v>
      </c>
      <c r="B31" s="70" t="s">
        <v>1134</v>
      </c>
      <c r="C31" s="64" t="s">
        <v>1135</v>
      </c>
      <c r="D31" s="76" t="s">
        <v>5435</v>
      </c>
      <c r="E31" s="62" t="s">
        <v>1678</v>
      </c>
      <c r="F31" s="56" t="s">
        <v>1599</v>
      </c>
    </row>
    <row r="32" spans="1:6" ht="15" customHeight="1" x14ac:dyDescent="0.15">
      <c r="A32" s="64" t="s">
        <v>1054</v>
      </c>
      <c r="B32" s="70" t="s">
        <v>675</v>
      </c>
      <c r="C32" s="64" t="s">
        <v>1136</v>
      </c>
      <c r="D32" s="76" t="s">
        <v>5430</v>
      </c>
      <c r="E32" s="62" t="s">
        <v>1679</v>
      </c>
      <c r="F32" s="56" t="s">
        <v>1599</v>
      </c>
    </row>
    <row r="33" spans="1:6" ht="15" customHeight="1" x14ac:dyDescent="0.15">
      <c r="A33" s="64" t="s">
        <v>1054</v>
      </c>
      <c r="B33" s="70" t="s">
        <v>846</v>
      </c>
      <c r="C33" s="64" t="s">
        <v>1137</v>
      </c>
      <c r="D33" s="76" t="s">
        <v>5430</v>
      </c>
      <c r="E33" s="62" t="s">
        <v>1598</v>
      </c>
      <c r="F33" s="56" t="s">
        <v>1599</v>
      </c>
    </row>
    <row r="34" spans="1:6" ht="24" customHeight="1" x14ac:dyDescent="0.15">
      <c r="A34" s="64" t="s">
        <v>1054</v>
      </c>
      <c r="B34" s="70" t="s">
        <v>387</v>
      </c>
      <c r="C34" s="64" t="s">
        <v>1138</v>
      </c>
      <c r="D34" s="76" t="s">
        <v>5430</v>
      </c>
      <c r="E34" s="62" t="s">
        <v>1621</v>
      </c>
      <c r="F34" s="56" t="s">
        <v>5278</v>
      </c>
    </row>
    <row r="35" spans="1:6" ht="24" customHeight="1" x14ac:dyDescent="0.15">
      <c r="A35" s="64" t="s">
        <v>1054</v>
      </c>
      <c r="B35" s="70" t="s">
        <v>676</v>
      </c>
      <c r="C35" s="64" t="s">
        <v>1139</v>
      </c>
      <c r="D35" s="76" t="s">
        <v>5288</v>
      </c>
      <c r="E35" s="62" t="s">
        <v>1681</v>
      </c>
      <c r="F35" s="56" t="s">
        <v>1599</v>
      </c>
    </row>
    <row r="36" spans="1:6" ht="24" customHeight="1" x14ac:dyDescent="0.15">
      <c r="A36" s="64" t="s">
        <v>1054</v>
      </c>
      <c r="B36" s="70" t="s">
        <v>677</v>
      </c>
      <c r="C36" s="64" t="s">
        <v>1140</v>
      </c>
      <c r="D36" s="76" t="s">
        <v>5430</v>
      </c>
      <c r="E36" s="62" t="s">
        <v>1598</v>
      </c>
      <c r="F36" s="56" t="s">
        <v>1599</v>
      </c>
    </row>
    <row r="37" spans="1:6" ht="24" customHeight="1" x14ac:dyDescent="0.15">
      <c r="A37" s="64" t="s">
        <v>1054</v>
      </c>
      <c r="B37" s="70" t="s">
        <v>554</v>
      </c>
      <c r="C37" s="64" t="s">
        <v>1141</v>
      </c>
      <c r="D37" s="76" t="s">
        <v>5431</v>
      </c>
      <c r="E37" s="62" t="s">
        <v>1695</v>
      </c>
      <c r="F37" s="62" t="s">
        <v>5291</v>
      </c>
    </row>
    <row r="38" spans="1:6" ht="15" customHeight="1" x14ac:dyDescent="0.15">
      <c r="A38" s="64" t="s">
        <v>1054</v>
      </c>
      <c r="B38" s="70" t="s">
        <v>415</v>
      </c>
      <c r="C38" s="64" t="s">
        <v>1142</v>
      </c>
      <c r="D38" s="76" t="s">
        <v>5432</v>
      </c>
      <c r="E38" s="62" t="s">
        <v>1597</v>
      </c>
      <c r="F38" s="62" t="s">
        <v>1585</v>
      </c>
    </row>
    <row r="39" spans="1:6" ht="15" customHeight="1" x14ac:dyDescent="0.15">
      <c r="A39" s="64" t="s">
        <v>1054</v>
      </c>
      <c r="B39" s="70" t="s">
        <v>405</v>
      </c>
      <c r="C39" s="64" t="s">
        <v>1143</v>
      </c>
      <c r="D39" s="76" t="s">
        <v>5432</v>
      </c>
      <c r="E39" s="62" t="s">
        <v>1706</v>
      </c>
      <c r="F39" s="56" t="s">
        <v>5408</v>
      </c>
    </row>
    <row r="40" spans="1:6" ht="15" customHeight="1" x14ac:dyDescent="0.15">
      <c r="A40" s="64" t="s">
        <v>1054</v>
      </c>
      <c r="B40" s="70" t="s">
        <v>532</v>
      </c>
      <c r="C40" s="64" t="s">
        <v>1144</v>
      </c>
      <c r="D40" s="76" t="s">
        <v>5430</v>
      </c>
      <c r="E40" s="62" t="s">
        <v>1730</v>
      </c>
      <c r="F40" s="56" t="s">
        <v>5413</v>
      </c>
    </row>
    <row r="41" spans="1:6" ht="15" customHeight="1" x14ac:dyDescent="0.15">
      <c r="A41" s="64" t="s">
        <v>1054</v>
      </c>
      <c r="B41" s="70" t="s">
        <v>417</v>
      </c>
      <c r="C41" s="64" t="s">
        <v>1145</v>
      </c>
      <c r="D41" s="76" t="s">
        <v>5288</v>
      </c>
      <c r="E41" s="62" t="s">
        <v>1707</v>
      </c>
      <c r="F41" s="56" t="s">
        <v>5414</v>
      </c>
    </row>
    <row r="42" spans="1:6" ht="15" customHeight="1" x14ac:dyDescent="0.15">
      <c r="A42" s="64" t="s">
        <v>1054</v>
      </c>
      <c r="B42" s="70" t="s">
        <v>678</v>
      </c>
      <c r="C42" s="64" t="s">
        <v>1146</v>
      </c>
      <c r="D42" s="76" t="s">
        <v>5435</v>
      </c>
      <c r="E42" s="62" t="s">
        <v>1613</v>
      </c>
      <c r="F42" s="56" t="s">
        <v>5408</v>
      </c>
    </row>
    <row r="43" spans="1:6" ht="15" customHeight="1" x14ac:dyDescent="0.15">
      <c r="A43" s="64" t="s">
        <v>1054</v>
      </c>
      <c r="B43" s="70" t="s">
        <v>679</v>
      </c>
      <c r="C43" s="64" t="s">
        <v>1147</v>
      </c>
      <c r="D43" s="76" t="s">
        <v>5430</v>
      </c>
      <c r="E43" s="62" t="s">
        <v>1613</v>
      </c>
      <c r="F43" s="56" t="s">
        <v>5408</v>
      </c>
    </row>
    <row r="44" spans="1:6" ht="24" customHeight="1" x14ac:dyDescent="0.15">
      <c r="A44" s="64" t="s">
        <v>1054</v>
      </c>
      <c r="B44" s="70" t="s">
        <v>680</v>
      </c>
      <c r="C44" s="64" t="s">
        <v>1148</v>
      </c>
      <c r="D44" s="76" t="s">
        <v>5432</v>
      </c>
      <c r="E44" s="62" t="s">
        <v>1613</v>
      </c>
      <c r="F44" s="56" t="s">
        <v>5408</v>
      </c>
    </row>
    <row r="45" spans="1:6" ht="22" customHeight="1" x14ac:dyDescent="0.15">
      <c r="A45" s="64" t="s">
        <v>1054</v>
      </c>
      <c r="B45" s="70" t="s">
        <v>489</v>
      </c>
      <c r="C45" s="64" t="s">
        <v>1149</v>
      </c>
      <c r="D45" s="76" t="s">
        <v>5432</v>
      </c>
      <c r="E45" s="62" t="s">
        <v>1708</v>
      </c>
      <c r="F45" s="56" t="s">
        <v>5415</v>
      </c>
    </row>
    <row r="46" spans="1:6" ht="15" customHeight="1" x14ac:dyDescent="0.15">
      <c r="A46" s="64" t="s">
        <v>1054</v>
      </c>
      <c r="B46" s="70" t="s">
        <v>444</v>
      </c>
      <c r="C46" s="64" t="s">
        <v>1150</v>
      </c>
      <c r="D46" s="76" t="s">
        <v>5432</v>
      </c>
      <c r="E46" s="62" t="s">
        <v>1613</v>
      </c>
      <c r="F46" s="56" t="s">
        <v>5408</v>
      </c>
    </row>
    <row r="47" spans="1:6" ht="24" customHeight="1" x14ac:dyDescent="0.15">
      <c r="A47" s="64" t="s">
        <v>1054</v>
      </c>
      <c r="B47" s="70" t="s">
        <v>409</v>
      </c>
      <c r="C47" s="64" t="s">
        <v>1151</v>
      </c>
      <c r="D47" s="76" t="s">
        <v>5430</v>
      </c>
      <c r="E47" s="62" t="s">
        <v>5433</v>
      </c>
      <c r="F47" s="62" t="s">
        <v>5292</v>
      </c>
    </row>
    <row r="48" spans="1:6" ht="15" customHeight="1" x14ac:dyDescent="0.15">
      <c r="A48" s="64" t="s">
        <v>1054</v>
      </c>
      <c r="B48" s="70" t="s">
        <v>1152</v>
      </c>
      <c r="C48" s="64" t="s">
        <v>1153</v>
      </c>
      <c r="D48" s="76" t="s">
        <v>5288</v>
      </c>
      <c r="E48" s="62" t="s">
        <v>1709</v>
      </c>
      <c r="F48" s="56" t="s">
        <v>5408</v>
      </c>
    </row>
    <row r="49" spans="1:6" ht="15" customHeight="1" x14ac:dyDescent="0.15">
      <c r="A49" s="64" t="s">
        <v>1054</v>
      </c>
      <c r="B49" s="70" t="s">
        <v>681</v>
      </c>
      <c r="C49" s="64" t="s">
        <v>1154</v>
      </c>
      <c r="D49" s="76" t="s">
        <v>5430</v>
      </c>
      <c r="E49" s="62" t="s">
        <v>1598</v>
      </c>
      <c r="F49" s="56" t="s">
        <v>1599</v>
      </c>
    </row>
    <row r="50" spans="1:6" ht="15" customHeight="1" x14ac:dyDescent="0.15">
      <c r="A50" s="64" t="s">
        <v>1054</v>
      </c>
      <c r="B50" s="70" t="s">
        <v>682</v>
      </c>
      <c r="C50" s="64" t="s">
        <v>1155</v>
      </c>
      <c r="D50" s="76" t="s">
        <v>5430</v>
      </c>
      <c r="E50" s="62" t="s">
        <v>1598</v>
      </c>
      <c r="F50" s="56" t="s">
        <v>1599</v>
      </c>
    </row>
    <row r="51" spans="1:6" ht="24" customHeight="1" x14ac:dyDescent="0.15">
      <c r="A51" s="64" t="s">
        <v>1054</v>
      </c>
      <c r="B51" s="70" t="s">
        <v>683</v>
      </c>
      <c r="C51" s="64" t="s">
        <v>1156</v>
      </c>
      <c r="D51" s="76" t="s">
        <v>5430</v>
      </c>
      <c r="E51" s="62" t="s">
        <v>1711</v>
      </c>
      <c r="F51" s="56" t="s">
        <v>5290</v>
      </c>
    </row>
    <row r="52" spans="1:6" ht="15" customHeight="1" x14ac:dyDescent="0.15">
      <c r="A52" s="64" t="s">
        <v>1054</v>
      </c>
      <c r="B52" s="70" t="s">
        <v>684</v>
      </c>
      <c r="C52" s="64" t="s">
        <v>1157</v>
      </c>
      <c r="D52" s="76" t="s">
        <v>5430</v>
      </c>
      <c r="E52" s="62" t="s">
        <v>1598</v>
      </c>
      <c r="F52" s="56" t="s">
        <v>1599</v>
      </c>
    </row>
    <row r="53" spans="1:6" ht="15" customHeight="1" x14ac:dyDescent="0.15">
      <c r="A53" s="64" t="s">
        <v>1054</v>
      </c>
      <c r="B53" s="67" t="s">
        <v>1158</v>
      </c>
      <c r="C53" s="64" t="s">
        <v>1159</v>
      </c>
      <c r="D53" s="76" t="s">
        <v>5430</v>
      </c>
      <c r="E53" s="62" t="s">
        <v>1723</v>
      </c>
      <c r="F53" s="56" t="s">
        <v>5289</v>
      </c>
    </row>
    <row r="54" spans="1:6" ht="15" customHeight="1" x14ac:dyDescent="0.15">
      <c r="A54" s="64" t="s">
        <v>1054</v>
      </c>
      <c r="B54" s="67" t="s">
        <v>685</v>
      </c>
      <c r="C54" s="64" t="s">
        <v>1160</v>
      </c>
      <c r="D54" s="76" t="s">
        <v>5432</v>
      </c>
      <c r="E54" s="62" t="s">
        <v>1597</v>
      </c>
      <c r="F54" s="62" t="s">
        <v>1585</v>
      </c>
    </row>
    <row r="55" spans="1:6" ht="15" customHeight="1" x14ac:dyDescent="0.15">
      <c r="A55" s="64" t="s">
        <v>1054</v>
      </c>
      <c r="B55" s="67" t="s">
        <v>686</v>
      </c>
      <c r="C55" s="64" t="s">
        <v>1161</v>
      </c>
      <c r="D55" s="76" t="s">
        <v>5432</v>
      </c>
      <c r="E55" s="62" t="s">
        <v>1125</v>
      </c>
      <c r="F55" s="56" t="s">
        <v>1579</v>
      </c>
    </row>
    <row r="56" spans="1:6" ht="24" customHeight="1" x14ac:dyDescent="0.15">
      <c r="A56" s="64" t="s">
        <v>1054</v>
      </c>
      <c r="B56" s="67" t="s">
        <v>567</v>
      </c>
      <c r="C56" s="64" t="s">
        <v>1162</v>
      </c>
      <c r="D56" s="76" t="s">
        <v>5432</v>
      </c>
      <c r="E56" s="62" t="s">
        <v>1597</v>
      </c>
      <c r="F56" s="62" t="s">
        <v>1585</v>
      </c>
    </row>
    <row r="57" spans="1:6" ht="15" customHeight="1" x14ac:dyDescent="0.15">
      <c r="A57" s="64" t="s">
        <v>1054</v>
      </c>
      <c r="B57" s="67" t="s">
        <v>604</v>
      </c>
      <c r="C57" s="64" t="s">
        <v>1163</v>
      </c>
      <c r="D57" s="76" t="s">
        <v>5432</v>
      </c>
      <c r="E57" s="62" t="s">
        <v>1644</v>
      </c>
      <c r="F57" s="56" t="s">
        <v>5293</v>
      </c>
    </row>
    <row r="58" spans="1:6" ht="15" customHeight="1" x14ac:dyDescent="0.15">
      <c r="A58" s="64" t="s">
        <v>1054</v>
      </c>
      <c r="B58" s="67" t="s">
        <v>687</v>
      </c>
      <c r="C58" s="64" t="s">
        <v>1164</v>
      </c>
      <c r="D58" s="76" t="s">
        <v>5432</v>
      </c>
      <c r="E58" s="62" t="s">
        <v>1598</v>
      </c>
      <c r="F58" s="56" t="s">
        <v>1599</v>
      </c>
    </row>
    <row r="59" spans="1:6" ht="15" customHeight="1" x14ac:dyDescent="0.15">
      <c r="A59" s="64" t="s">
        <v>1054</v>
      </c>
      <c r="B59" s="67" t="s">
        <v>688</v>
      </c>
      <c r="C59" s="64" t="s">
        <v>1165</v>
      </c>
      <c r="D59" s="76" t="s">
        <v>5432</v>
      </c>
      <c r="E59" s="62" t="s">
        <v>1598</v>
      </c>
      <c r="F59" s="56" t="s">
        <v>1599</v>
      </c>
    </row>
    <row r="60" spans="1:6" ht="24" customHeight="1" x14ac:dyDescent="0.15">
      <c r="A60" s="64" t="s">
        <v>1054</v>
      </c>
      <c r="B60" s="67" t="s">
        <v>605</v>
      </c>
      <c r="C60" s="64" t="s">
        <v>1166</v>
      </c>
      <c r="D60" s="76" t="s">
        <v>5430</v>
      </c>
      <c r="E60" s="62" t="s">
        <v>1730</v>
      </c>
      <c r="F60" s="56" t="s">
        <v>5413</v>
      </c>
    </row>
    <row r="61" spans="1:6" ht="15" customHeight="1" x14ac:dyDescent="0.15">
      <c r="A61" s="64" t="s">
        <v>75</v>
      </c>
      <c r="B61" s="67" t="s">
        <v>693</v>
      </c>
      <c r="C61" s="64" t="s">
        <v>1167</v>
      </c>
      <c r="D61" s="76" t="s">
        <v>5430</v>
      </c>
      <c r="E61" s="62" t="s">
        <v>1698</v>
      </c>
      <c r="F61" s="62" t="s">
        <v>5294</v>
      </c>
    </row>
    <row r="62" spans="1:6" ht="24" customHeight="1" x14ac:dyDescent="0.15">
      <c r="A62" s="64" t="s">
        <v>75</v>
      </c>
      <c r="B62" s="67" t="s">
        <v>694</v>
      </c>
      <c r="C62" s="64" t="s">
        <v>1168</v>
      </c>
      <c r="D62" s="76" t="s">
        <v>5430</v>
      </c>
      <c r="E62" s="62" t="s">
        <v>1623</v>
      </c>
      <c r="F62" s="56" t="s">
        <v>1624</v>
      </c>
    </row>
    <row r="63" spans="1:6" ht="15" customHeight="1" x14ac:dyDescent="0.15">
      <c r="A63" s="64" t="s">
        <v>75</v>
      </c>
      <c r="B63" s="67" t="s">
        <v>695</v>
      </c>
      <c r="C63" s="64" t="s">
        <v>1169</v>
      </c>
      <c r="D63" s="76" t="s">
        <v>5430</v>
      </c>
      <c r="E63" s="62" t="s">
        <v>1395</v>
      </c>
      <c r="F63" s="56" t="s">
        <v>1612</v>
      </c>
    </row>
    <row r="64" spans="1:6" ht="15" customHeight="1" x14ac:dyDescent="0.15">
      <c r="A64" s="64" t="s">
        <v>75</v>
      </c>
      <c r="B64" s="70" t="s">
        <v>696</v>
      </c>
      <c r="C64" s="64" t="s">
        <v>1170</v>
      </c>
      <c r="D64" s="76" t="s">
        <v>5430</v>
      </c>
      <c r="E64" s="62" t="s">
        <v>1703</v>
      </c>
    </row>
    <row r="65" spans="1:6" ht="15" customHeight="1" x14ac:dyDescent="0.15">
      <c r="A65" s="64" t="s">
        <v>75</v>
      </c>
      <c r="B65" s="70" t="s">
        <v>490</v>
      </c>
      <c r="C65" s="64" t="s">
        <v>1171</v>
      </c>
      <c r="D65" s="76" t="s">
        <v>5430</v>
      </c>
      <c r="E65" s="62" t="s">
        <v>1395</v>
      </c>
      <c r="F65" s="56" t="s">
        <v>1612</v>
      </c>
    </row>
    <row r="66" spans="1:6" ht="15" customHeight="1" x14ac:dyDescent="0.15">
      <c r="A66" s="64" t="s">
        <v>90</v>
      </c>
      <c r="B66" s="70" t="s">
        <v>501</v>
      </c>
      <c r="C66" s="64" t="s">
        <v>1172</v>
      </c>
      <c r="D66" s="76" t="s">
        <v>5435</v>
      </c>
      <c r="E66" s="62" t="s">
        <v>1623</v>
      </c>
      <c r="F66" s="56" t="s">
        <v>1624</v>
      </c>
    </row>
    <row r="67" spans="1:6" ht="15" customHeight="1" x14ac:dyDescent="0.15">
      <c r="A67" s="64" t="s">
        <v>964</v>
      </c>
      <c r="B67" s="67" t="s">
        <v>698</v>
      </c>
      <c r="C67" s="64" t="s">
        <v>1173</v>
      </c>
      <c r="D67" s="76" t="s">
        <v>5430</v>
      </c>
      <c r="E67" s="62" t="s">
        <v>1625</v>
      </c>
      <c r="F67" s="56" t="s">
        <v>5295</v>
      </c>
    </row>
    <row r="68" spans="1:6" ht="15" customHeight="1" x14ac:dyDescent="0.15">
      <c r="A68" s="64" t="s">
        <v>964</v>
      </c>
      <c r="B68" s="67" t="s">
        <v>607</v>
      </c>
      <c r="C68" s="64" t="s">
        <v>1174</v>
      </c>
      <c r="D68" s="76" t="s">
        <v>5430</v>
      </c>
      <c r="E68" s="62" t="s">
        <v>1623</v>
      </c>
      <c r="F68" s="56" t="s">
        <v>1624</v>
      </c>
    </row>
    <row r="69" spans="1:6" ht="15" customHeight="1" x14ac:dyDescent="0.15">
      <c r="A69" s="64" t="s">
        <v>964</v>
      </c>
      <c r="B69" s="70" t="s">
        <v>699</v>
      </c>
      <c r="C69" s="64" t="s">
        <v>1175</v>
      </c>
      <c r="D69" s="76" t="s">
        <v>5430</v>
      </c>
      <c r="E69" s="62" t="s">
        <v>1664</v>
      </c>
      <c r="F69" s="56" t="s">
        <v>1612</v>
      </c>
    </row>
    <row r="70" spans="1:6" ht="24" customHeight="1" x14ac:dyDescent="0.15">
      <c r="A70" s="64" t="s">
        <v>964</v>
      </c>
      <c r="B70" s="70" t="s">
        <v>535</v>
      </c>
      <c r="C70" s="64" t="s">
        <v>1176</v>
      </c>
      <c r="D70" s="76" t="s">
        <v>5430</v>
      </c>
      <c r="E70" s="62" t="s">
        <v>1395</v>
      </c>
      <c r="F70" s="56" t="s">
        <v>1612</v>
      </c>
    </row>
    <row r="71" spans="1:6" ht="15" customHeight="1" x14ac:dyDescent="0.15">
      <c r="A71" s="64" t="s">
        <v>964</v>
      </c>
      <c r="B71" s="70" t="s">
        <v>487</v>
      </c>
      <c r="C71" s="64" t="s">
        <v>1177</v>
      </c>
      <c r="D71" s="76" t="s">
        <v>5430</v>
      </c>
      <c r="E71" s="62" t="s">
        <v>1395</v>
      </c>
      <c r="F71" s="56" t="s">
        <v>1612</v>
      </c>
    </row>
    <row r="72" spans="1:6" ht="15" customHeight="1" x14ac:dyDescent="0.15">
      <c r="A72" s="64" t="s">
        <v>964</v>
      </c>
      <c r="B72" s="70" t="s">
        <v>700</v>
      </c>
      <c r="C72" s="64" t="s">
        <v>1178</v>
      </c>
      <c r="D72" s="76" t="s">
        <v>5432</v>
      </c>
      <c r="E72" s="62" t="s">
        <v>1395</v>
      </c>
      <c r="F72" s="56" t="s">
        <v>1612</v>
      </c>
    </row>
    <row r="73" spans="1:6" ht="15" customHeight="1" x14ac:dyDescent="0.15">
      <c r="A73" s="64" t="s">
        <v>964</v>
      </c>
      <c r="B73" s="70" t="s">
        <v>472</v>
      </c>
      <c r="C73" s="64" t="s">
        <v>1179</v>
      </c>
      <c r="D73" s="76" t="s">
        <v>5432</v>
      </c>
      <c r="E73" s="62" t="s">
        <v>1680</v>
      </c>
      <c r="F73" s="56" t="s">
        <v>1612</v>
      </c>
    </row>
    <row r="74" spans="1:6" ht="15" customHeight="1" x14ac:dyDescent="0.15">
      <c r="A74" s="64" t="s">
        <v>964</v>
      </c>
      <c r="B74" s="70" t="s">
        <v>498</v>
      </c>
      <c r="C74" s="64" t="s">
        <v>1180</v>
      </c>
      <c r="D74" s="76" t="s">
        <v>5430</v>
      </c>
      <c r="E74" s="62" t="s">
        <v>1682</v>
      </c>
      <c r="F74" s="56" t="s">
        <v>5346</v>
      </c>
    </row>
    <row r="75" spans="1:6" ht="15" customHeight="1" x14ac:dyDescent="0.15">
      <c r="A75" s="64" t="s">
        <v>964</v>
      </c>
      <c r="B75" s="70" t="s">
        <v>1181</v>
      </c>
      <c r="C75" s="64" t="s">
        <v>1182</v>
      </c>
      <c r="D75" s="76" t="s">
        <v>5430</v>
      </c>
      <c r="E75" s="62" t="s">
        <v>1633</v>
      </c>
      <c r="F75" s="62" t="s">
        <v>5296</v>
      </c>
    </row>
    <row r="76" spans="1:6" ht="15" customHeight="1" x14ac:dyDescent="0.15">
      <c r="A76" s="64" t="s">
        <v>964</v>
      </c>
      <c r="B76" s="70" t="s">
        <v>512</v>
      </c>
      <c r="C76" s="64" t="s">
        <v>1183</v>
      </c>
      <c r="D76" s="76" t="s">
        <v>5431</v>
      </c>
      <c r="E76" s="62" t="s">
        <v>1395</v>
      </c>
      <c r="F76" s="56" t="s">
        <v>1612</v>
      </c>
    </row>
    <row r="77" spans="1:6" ht="15" customHeight="1" x14ac:dyDescent="0.15">
      <c r="A77" s="64" t="s">
        <v>964</v>
      </c>
      <c r="B77" s="70" t="s">
        <v>513</v>
      </c>
      <c r="C77" s="64" t="s">
        <v>1184</v>
      </c>
      <c r="D77" s="76" t="s">
        <v>5430</v>
      </c>
      <c r="E77" s="62" t="s">
        <v>1395</v>
      </c>
      <c r="F77" s="56" t="s">
        <v>1612</v>
      </c>
    </row>
    <row r="78" spans="1:6" ht="24" customHeight="1" x14ac:dyDescent="0.15">
      <c r="A78" s="64" t="s">
        <v>964</v>
      </c>
      <c r="B78" s="70" t="s">
        <v>1185</v>
      </c>
      <c r="C78" s="64" t="s">
        <v>1186</v>
      </c>
      <c r="D78" s="76" t="s">
        <v>5432</v>
      </c>
      <c r="E78" s="62" t="s">
        <v>1395</v>
      </c>
      <c r="F78" s="56" t="s">
        <v>1612</v>
      </c>
    </row>
    <row r="79" spans="1:6" ht="15" customHeight="1" x14ac:dyDescent="0.15">
      <c r="A79" s="64" t="s">
        <v>964</v>
      </c>
      <c r="B79" s="70" t="s">
        <v>1187</v>
      </c>
      <c r="C79" s="64" t="s">
        <v>1188</v>
      </c>
      <c r="D79" s="76" t="s">
        <v>5432</v>
      </c>
      <c r="E79" s="62" t="s">
        <v>1395</v>
      </c>
      <c r="F79" s="56" t="s">
        <v>1612</v>
      </c>
    </row>
    <row r="80" spans="1:6" ht="24" customHeight="1" x14ac:dyDescent="0.15">
      <c r="A80" s="64" t="s">
        <v>964</v>
      </c>
      <c r="B80" s="70" t="s">
        <v>702</v>
      </c>
      <c r="C80" s="64" t="s">
        <v>1189</v>
      </c>
      <c r="D80" s="76" t="s">
        <v>5432</v>
      </c>
      <c r="E80" s="62" t="s">
        <v>1395</v>
      </c>
      <c r="F80" s="56" t="s">
        <v>1612</v>
      </c>
    </row>
    <row r="81" spans="1:6" ht="24" customHeight="1" x14ac:dyDescent="0.15">
      <c r="A81" s="64" t="s">
        <v>964</v>
      </c>
      <c r="B81" s="70" t="s">
        <v>1190</v>
      </c>
      <c r="C81" s="64" t="s">
        <v>1191</v>
      </c>
      <c r="D81" s="76" t="s">
        <v>5432</v>
      </c>
      <c r="E81" s="62" t="s">
        <v>1395</v>
      </c>
      <c r="F81" s="56" t="s">
        <v>1612</v>
      </c>
    </row>
    <row r="82" spans="1:6" ht="15" customHeight="1" x14ac:dyDescent="0.15">
      <c r="A82" s="64" t="s">
        <v>964</v>
      </c>
      <c r="B82" s="70" t="s">
        <v>1192</v>
      </c>
      <c r="C82" s="64" t="s">
        <v>1193</v>
      </c>
      <c r="D82" s="76" t="s">
        <v>5432</v>
      </c>
      <c r="E82" s="62" t="s">
        <v>1395</v>
      </c>
      <c r="F82" s="56" t="s">
        <v>1612</v>
      </c>
    </row>
    <row r="83" spans="1:6" ht="15" customHeight="1" x14ac:dyDescent="0.15">
      <c r="A83" s="64" t="s">
        <v>964</v>
      </c>
      <c r="B83" s="70" t="s">
        <v>1194</v>
      </c>
      <c r="C83" s="64" t="s">
        <v>1195</v>
      </c>
      <c r="D83" s="76" t="s">
        <v>5432</v>
      </c>
      <c r="E83" s="62" t="s">
        <v>1395</v>
      </c>
      <c r="F83" s="56" t="s">
        <v>1612</v>
      </c>
    </row>
    <row r="84" spans="1:6" ht="15" customHeight="1" x14ac:dyDescent="0.15">
      <c r="A84" s="64" t="s">
        <v>964</v>
      </c>
      <c r="B84" s="70" t="s">
        <v>1196</v>
      </c>
      <c r="C84" s="64" t="s">
        <v>1197</v>
      </c>
      <c r="D84" s="76" t="s">
        <v>5430</v>
      </c>
      <c r="E84" s="62" t="s">
        <v>1395</v>
      </c>
      <c r="F84" s="56" t="s">
        <v>1612</v>
      </c>
    </row>
    <row r="85" spans="1:6" ht="15" customHeight="1" x14ac:dyDescent="0.15">
      <c r="A85" s="64" t="s">
        <v>964</v>
      </c>
      <c r="B85" s="70" t="s">
        <v>1198</v>
      </c>
      <c r="C85" s="64" t="s">
        <v>1199</v>
      </c>
      <c r="D85" s="76" t="s">
        <v>5432</v>
      </c>
      <c r="E85" s="62" t="s">
        <v>1395</v>
      </c>
      <c r="F85" s="56" t="s">
        <v>1612</v>
      </c>
    </row>
    <row r="86" spans="1:6" ht="15" customHeight="1" x14ac:dyDescent="0.15">
      <c r="A86" s="64" t="s">
        <v>964</v>
      </c>
      <c r="B86" s="70" t="s">
        <v>707</v>
      </c>
      <c r="C86" s="64" t="s">
        <v>1200</v>
      </c>
      <c r="D86" s="76" t="s">
        <v>5430</v>
      </c>
      <c r="E86" s="62" t="s">
        <v>1395</v>
      </c>
      <c r="F86" s="56" t="s">
        <v>1612</v>
      </c>
    </row>
    <row r="87" spans="1:6" ht="15" customHeight="1" x14ac:dyDescent="0.15">
      <c r="A87" s="64" t="s">
        <v>964</v>
      </c>
      <c r="B87" s="70" t="s">
        <v>1201</v>
      </c>
      <c r="C87" s="64" t="s">
        <v>1202</v>
      </c>
      <c r="D87" s="76" t="s">
        <v>5432</v>
      </c>
      <c r="E87" s="62" t="s">
        <v>1691</v>
      </c>
      <c r="F87" s="62" t="s">
        <v>5297</v>
      </c>
    </row>
    <row r="88" spans="1:6" ht="15" customHeight="1" x14ac:dyDescent="0.15">
      <c r="A88" s="64" t="s">
        <v>964</v>
      </c>
      <c r="B88" s="70" t="s">
        <v>1203</v>
      </c>
      <c r="C88" s="64" t="s">
        <v>1204</v>
      </c>
      <c r="D88" s="76" t="s">
        <v>5430</v>
      </c>
      <c r="E88" s="62" t="s">
        <v>1395</v>
      </c>
      <c r="F88" s="56" t="s">
        <v>1612</v>
      </c>
    </row>
    <row r="89" spans="1:6" ht="15" customHeight="1" x14ac:dyDescent="0.15">
      <c r="A89" s="64" t="s">
        <v>964</v>
      </c>
      <c r="B89" s="70" t="s">
        <v>1205</v>
      </c>
      <c r="C89" s="64" t="s">
        <v>1206</v>
      </c>
      <c r="D89" s="76" t="s">
        <v>5432</v>
      </c>
      <c r="E89" s="62" t="s">
        <v>1395</v>
      </c>
      <c r="F89" s="56" t="s">
        <v>1612</v>
      </c>
    </row>
    <row r="90" spans="1:6" ht="15" customHeight="1" x14ac:dyDescent="0.15">
      <c r="A90" s="64" t="s">
        <v>964</v>
      </c>
      <c r="B90" s="70" t="s">
        <v>710</v>
      </c>
      <c r="C90" s="64" t="s">
        <v>1207</v>
      </c>
      <c r="D90" s="76" t="s">
        <v>5430</v>
      </c>
      <c r="E90" s="62" t="s">
        <v>1395</v>
      </c>
      <c r="F90" s="56" t="s">
        <v>1612</v>
      </c>
    </row>
    <row r="91" spans="1:6" ht="15" customHeight="1" x14ac:dyDescent="0.15">
      <c r="A91" s="64" t="s">
        <v>964</v>
      </c>
      <c r="B91" s="70" t="s">
        <v>548</v>
      </c>
      <c r="C91" s="64" t="s">
        <v>1208</v>
      </c>
      <c r="D91" s="76" t="s">
        <v>5430</v>
      </c>
      <c r="E91" s="62" t="s">
        <v>1395</v>
      </c>
      <c r="F91" s="56" t="s">
        <v>1612</v>
      </c>
    </row>
    <row r="92" spans="1:6" ht="24" customHeight="1" x14ac:dyDescent="0.15">
      <c r="A92" s="64" t="s">
        <v>964</v>
      </c>
      <c r="B92" s="70" t="s">
        <v>1209</v>
      </c>
      <c r="C92" s="64" t="s">
        <v>1210</v>
      </c>
      <c r="D92" s="76" t="s">
        <v>5432</v>
      </c>
      <c r="E92" s="62" t="s">
        <v>1395</v>
      </c>
      <c r="F92" s="56" t="s">
        <v>1612</v>
      </c>
    </row>
    <row r="93" spans="1:6" ht="15" customHeight="1" x14ac:dyDescent="0.15">
      <c r="A93" s="64" t="s">
        <v>964</v>
      </c>
      <c r="B93" s="67" t="s">
        <v>711</v>
      </c>
      <c r="C93" s="64" t="s">
        <v>1211</v>
      </c>
      <c r="D93" s="76" t="s">
        <v>5435</v>
      </c>
      <c r="E93" s="62" t="s">
        <v>1395</v>
      </c>
      <c r="F93" s="56" t="s">
        <v>1612</v>
      </c>
    </row>
    <row r="94" spans="1:6" ht="15" customHeight="1" x14ac:dyDescent="0.15">
      <c r="A94" s="64" t="s">
        <v>964</v>
      </c>
      <c r="B94" s="67" t="s">
        <v>522</v>
      </c>
      <c r="C94" s="64" t="s">
        <v>1212</v>
      </c>
      <c r="D94" s="76" t="s">
        <v>5435</v>
      </c>
      <c r="E94" s="62" t="s">
        <v>1724</v>
      </c>
      <c r="F94" s="56" t="s">
        <v>1612</v>
      </c>
    </row>
    <row r="95" spans="1:6" ht="15" customHeight="1" x14ac:dyDescent="0.15">
      <c r="A95" s="64" t="s">
        <v>964</v>
      </c>
      <c r="B95" s="67" t="s">
        <v>541</v>
      </c>
      <c r="C95" s="64" t="s">
        <v>1213</v>
      </c>
      <c r="D95" s="76" t="s">
        <v>5435</v>
      </c>
      <c r="E95" s="62" t="s">
        <v>1395</v>
      </c>
      <c r="F95" s="56" t="s">
        <v>1612</v>
      </c>
    </row>
    <row r="96" spans="1:6" ht="24" customHeight="1" x14ac:dyDescent="0.15">
      <c r="A96" s="64" t="s">
        <v>964</v>
      </c>
      <c r="B96" s="67" t="s">
        <v>1214</v>
      </c>
      <c r="C96" s="64" t="s">
        <v>1215</v>
      </c>
      <c r="D96" s="76" t="s">
        <v>5430</v>
      </c>
      <c r="E96" s="62" t="s">
        <v>1395</v>
      </c>
      <c r="F96" s="56" t="s">
        <v>1612</v>
      </c>
    </row>
    <row r="97" spans="1:6" ht="24" customHeight="1" x14ac:dyDescent="0.15">
      <c r="A97" s="64" t="s">
        <v>964</v>
      </c>
      <c r="B97" s="67" t="s">
        <v>1216</v>
      </c>
      <c r="C97" s="64" t="s">
        <v>1217</v>
      </c>
      <c r="D97" s="76" t="s">
        <v>5435</v>
      </c>
      <c r="E97" s="62" t="s">
        <v>1395</v>
      </c>
      <c r="F97" s="56" t="s">
        <v>1612</v>
      </c>
    </row>
    <row r="98" spans="1:6" ht="15" customHeight="1" x14ac:dyDescent="0.15">
      <c r="A98" s="64" t="s">
        <v>964</v>
      </c>
      <c r="B98" s="67" t="s">
        <v>713</v>
      </c>
      <c r="C98" s="64" t="s">
        <v>1218</v>
      </c>
      <c r="D98" s="76" t="s">
        <v>5435</v>
      </c>
      <c r="E98" s="62" t="s">
        <v>1395</v>
      </c>
      <c r="F98" s="56" t="s">
        <v>1612</v>
      </c>
    </row>
    <row r="99" spans="1:6" ht="24" customHeight="1" x14ac:dyDescent="0.15">
      <c r="A99" s="64" t="s">
        <v>964</v>
      </c>
      <c r="B99" s="67" t="s">
        <v>543</v>
      </c>
      <c r="C99" s="64" t="s">
        <v>1219</v>
      </c>
      <c r="D99" s="76" t="s">
        <v>5435</v>
      </c>
      <c r="E99" s="62" t="s">
        <v>1725</v>
      </c>
      <c r="F99" s="56" t="s">
        <v>1612</v>
      </c>
    </row>
    <row r="100" spans="1:6" ht="24" customHeight="1" x14ac:dyDescent="0.15">
      <c r="A100" s="64" t="s">
        <v>964</v>
      </c>
      <c r="B100" s="67" t="s">
        <v>1220</v>
      </c>
      <c r="C100" s="64" t="s">
        <v>1221</v>
      </c>
      <c r="D100" s="76" t="s">
        <v>5435</v>
      </c>
      <c r="E100" s="62" t="s">
        <v>1726</v>
      </c>
      <c r="F100" s="56" t="s">
        <v>1612</v>
      </c>
    </row>
    <row r="101" spans="1:6" ht="15" customHeight="1" x14ac:dyDescent="0.15">
      <c r="A101" s="64" t="s">
        <v>964</v>
      </c>
      <c r="B101" s="67" t="s">
        <v>544</v>
      </c>
      <c r="C101" s="64" t="s">
        <v>1222</v>
      </c>
      <c r="D101" s="76" t="s">
        <v>5430</v>
      </c>
      <c r="E101" s="62" t="s">
        <v>1395</v>
      </c>
      <c r="F101" s="56" t="s">
        <v>1612</v>
      </c>
    </row>
    <row r="102" spans="1:6" ht="24" customHeight="1" x14ac:dyDescent="0.15">
      <c r="A102" s="64" t="s">
        <v>964</v>
      </c>
      <c r="B102" s="67" t="s">
        <v>1223</v>
      </c>
      <c r="C102" s="64" t="s">
        <v>1224</v>
      </c>
      <c r="D102" s="76" t="s">
        <v>5430</v>
      </c>
      <c r="E102" s="62" t="s">
        <v>1623</v>
      </c>
      <c r="F102" s="56" t="s">
        <v>1624</v>
      </c>
    </row>
    <row r="103" spans="1:6" ht="24" customHeight="1" x14ac:dyDescent="0.15">
      <c r="A103" s="64" t="s">
        <v>964</v>
      </c>
      <c r="B103" s="67" t="s">
        <v>1225</v>
      </c>
      <c r="C103" s="64" t="s">
        <v>1226</v>
      </c>
      <c r="D103" s="76" t="s">
        <v>5430</v>
      </c>
      <c r="E103" s="62" t="s">
        <v>1623</v>
      </c>
      <c r="F103" s="56" t="s">
        <v>1624</v>
      </c>
    </row>
    <row r="104" spans="1:6" ht="19" customHeight="1" x14ac:dyDescent="0.15">
      <c r="A104" s="64" t="s">
        <v>964</v>
      </c>
      <c r="B104" s="67" t="s">
        <v>1227</v>
      </c>
      <c r="C104" s="64" t="s">
        <v>1228</v>
      </c>
      <c r="D104" s="76" t="s">
        <v>5430</v>
      </c>
      <c r="E104" s="62" t="s">
        <v>1736</v>
      </c>
      <c r="F104" s="56" t="s">
        <v>1612</v>
      </c>
    </row>
    <row r="105" spans="1:6" ht="20" customHeight="1" x14ac:dyDescent="0.15">
      <c r="A105" s="64" t="s">
        <v>964</v>
      </c>
      <c r="B105" s="67" t="s">
        <v>718</v>
      </c>
      <c r="C105" s="64" t="s">
        <v>1229</v>
      </c>
      <c r="D105" s="76" t="s">
        <v>5430</v>
      </c>
      <c r="E105" s="62" t="s">
        <v>1576</v>
      </c>
      <c r="F105" s="59" t="s">
        <v>1577</v>
      </c>
    </row>
    <row r="106" spans="1:6" ht="15" customHeight="1" x14ac:dyDescent="0.15">
      <c r="A106" s="64" t="s">
        <v>964</v>
      </c>
      <c r="B106" s="67" t="s">
        <v>719</v>
      </c>
      <c r="C106" s="64" t="s">
        <v>1230</v>
      </c>
      <c r="D106" s="76" t="s">
        <v>5430</v>
      </c>
      <c r="E106" s="62" t="s">
        <v>1640</v>
      </c>
      <c r="F106" s="56" t="s">
        <v>5264</v>
      </c>
    </row>
    <row r="107" spans="1:6" ht="24" customHeight="1" x14ac:dyDescent="0.15">
      <c r="A107" s="64" t="s">
        <v>964</v>
      </c>
      <c r="B107" s="67" t="s">
        <v>1231</v>
      </c>
      <c r="C107" s="64" t="s">
        <v>1232</v>
      </c>
      <c r="D107" s="76" t="s">
        <v>5435</v>
      </c>
      <c r="E107" s="62" t="s">
        <v>1741</v>
      </c>
      <c r="F107" s="56" t="s">
        <v>5347</v>
      </c>
    </row>
    <row r="108" spans="1:6" ht="24" customHeight="1" x14ac:dyDescent="0.15">
      <c r="A108" s="64" t="s">
        <v>964</v>
      </c>
      <c r="B108" s="67" t="s">
        <v>519</v>
      </c>
      <c r="C108" s="64" t="s">
        <v>1233</v>
      </c>
      <c r="D108" s="76" t="s">
        <v>5430</v>
      </c>
      <c r="E108" s="62" t="s">
        <v>1742</v>
      </c>
      <c r="F108" s="56" t="s">
        <v>5348</v>
      </c>
    </row>
    <row r="109" spans="1:6" ht="24" customHeight="1" x14ac:dyDescent="0.15">
      <c r="A109" s="64" t="s">
        <v>964</v>
      </c>
      <c r="B109" s="67" t="s">
        <v>556</v>
      </c>
      <c r="C109" s="64" t="s">
        <v>1234</v>
      </c>
      <c r="D109" s="76" t="s">
        <v>5430</v>
      </c>
      <c r="E109" s="62" t="s">
        <v>1597</v>
      </c>
      <c r="F109" s="62" t="s">
        <v>5298</v>
      </c>
    </row>
    <row r="110" spans="1:6" ht="15" customHeight="1" x14ac:dyDescent="0.15">
      <c r="A110" s="64" t="s">
        <v>964</v>
      </c>
      <c r="B110" s="67" t="s">
        <v>614</v>
      </c>
      <c r="C110" s="64" t="s">
        <v>1235</v>
      </c>
      <c r="D110" s="76" t="s">
        <v>5430</v>
      </c>
      <c r="E110" s="62" t="s">
        <v>1743</v>
      </c>
      <c r="F110" s="56" t="s">
        <v>5299</v>
      </c>
    </row>
    <row r="111" spans="1:6" ht="15" customHeight="1" x14ac:dyDescent="0.15">
      <c r="A111" s="64" t="s">
        <v>964</v>
      </c>
      <c r="B111" s="67" t="s">
        <v>1236</v>
      </c>
      <c r="C111" s="64" t="s">
        <v>1237</v>
      </c>
      <c r="D111" s="76" t="s">
        <v>5430</v>
      </c>
      <c r="E111" s="62" t="s">
        <v>1623</v>
      </c>
      <c r="F111" s="56" t="s">
        <v>1624</v>
      </c>
    </row>
    <row r="112" spans="1:6" ht="24" customHeight="1" x14ac:dyDescent="0.15">
      <c r="A112" s="64" t="s">
        <v>964</v>
      </c>
      <c r="B112" s="67" t="s">
        <v>1238</v>
      </c>
      <c r="C112" s="64" t="s">
        <v>1239</v>
      </c>
      <c r="D112" s="76" t="s">
        <v>5430</v>
      </c>
      <c r="E112" s="62" t="s">
        <v>1744</v>
      </c>
    </row>
    <row r="113" spans="1:6" ht="15" customHeight="1" x14ac:dyDescent="0.15">
      <c r="A113" s="64" t="s">
        <v>964</v>
      </c>
      <c r="B113" s="67" t="s">
        <v>721</v>
      </c>
      <c r="C113" s="64" t="s">
        <v>1240</v>
      </c>
      <c r="D113" s="76" t="s">
        <v>5430</v>
      </c>
      <c r="E113" s="62" t="s">
        <v>1623</v>
      </c>
      <c r="F113" s="56" t="s">
        <v>1624</v>
      </c>
    </row>
    <row r="114" spans="1:6" ht="15" customHeight="1" x14ac:dyDescent="0.15">
      <c r="A114" s="64" t="s">
        <v>964</v>
      </c>
      <c r="B114" s="67" t="s">
        <v>1241</v>
      </c>
      <c r="C114" s="64" t="s">
        <v>1242</v>
      </c>
      <c r="D114" s="76" t="s">
        <v>5435</v>
      </c>
      <c r="E114" s="62" t="s">
        <v>1623</v>
      </c>
      <c r="F114" s="56" t="s">
        <v>1624</v>
      </c>
    </row>
    <row r="115" spans="1:6" ht="24" customHeight="1" x14ac:dyDescent="0.15">
      <c r="A115" s="64" t="s">
        <v>964</v>
      </c>
      <c r="B115" s="67" t="s">
        <v>1243</v>
      </c>
      <c r="C115" s="64" t="s">
        <v>1244</v>
      </c>
      <c r="D115" s="76" t="s">
        <v>5430</v>
      </c>
      <c r="E115" s="62" t="s">
        <v>1395</v>
      </c>
      <c r="F115" s="56" t="s">
        <v>1612</v>
      </c>
    </row>
    <row r="116" spans="1:6" ht="15" customHeight="1" x14ac:dyDescent="0.15">
      <c r="A116" s="64" t="s">
        <v>964</v>
      </c>
      <c r="B116" s="67" t="s">
        <v>1245</v>
      </c>
      <c r="C116" s="64" t="s">
        <v>1246</v>
      </c>
      <c r="D116" s="76" t="s">
        <v>5430</v>
      </c>
      <c r="E116" s="62" t="s">
        <v>1618</v>
      </c>
      <c r="F116" s="56" t="s">
        <v>5349</v>
      </c>
    </row>
    <row r="117" spans="1:6" ht="24" customHeight="1" x14ac:dyDescent="0.15">
      <c r="A117" s="64" t="s">
        <v>964</v>
      </c>
      <c r="B117" s="67" t="s">
        <v>1247</v>
      </c>
      <c r="C117" s="64" t="s">
        <v>1248</v>
      </c>
      <c r="D117" s="76" t="s">
        <v>5435</v>
      </c>
      <c r="E117" s="62" t="s">
        <v>1623</v>
      </c>
      <c r="F117" s="56" t="s">
        <v>1624</v>
      </c>
    </row>
    <row r="118" spans="1:6" ht="24" customHeight="1" x14ac:dyDescent="0.15">
      <c r="A118" s="64" t="s">
        <v>964</v>
      </c>
      <c r="B118" s="67" t="s">
        <v>1249</v>
      </c>
      <c r="C118" s="64" t="s">
        <v>1250</v>
      </c>
      <c r="D118" s="76" t="s">
        <v>5435</v>
      </c>
      <c r="E118" s="62" t="s">
        <v>1618</v>
      </c>
      <c r="F118" s="56" t="s">
        <v>5349</v>
      </c>
    </row>
    <row r="119" spans="1:6" ht="15" customHeight="1" x14ac:dyDescent="0.15">
      <c r="A119" s="64" t="s">
        <v>964</v>
      </c>
      <c r="B119" s="67" t="s">
        <v>1251</v>
      </c>
      <c r="C119" s="64" t="s">
        <v>1252</v>
      </c>
      <c r="D119" s="76" t="s">
        <v>5435</v>
      </c>
      <c r="E119" s="62" t="s">
        <v>1732</v>
      </c>
      <c r="F119" s="56" t="s">
        <v>5300</v>
      </c>
    </row>
    <row r="120" spans="1:6" ht="24" customHeight="1" x14ac:dyDescent="0.15">
      <c r="A120" s="64" t="s">
        <v>964</v>
      </c>
      <c r="B120" s="67" t="s">
        <v>723</v>
      </c>
      <c r="C120" s="64" t="s">
        <v>1253</v>
      </c>
      <c r="D120" s="76" t="s">
        <v>5430</v>
      </c>
      <c r="E120" s="62" t="s">
        <v>1623</v>
      </c>
      <c r="F120" s="56" t="s">
        <v>1624</v>
      </c>
    </row>
    <row r="121" spans="1:6" ht="24" customHeight="1" x14ac:dyDescent="0.15">
      <c r="A121" s="64" t="s">
        <v>1254</v>
      </c>
      <c r="B121" s="67" t="s">
        <v>1255</v>
      </c>
      <c r="C121" s="64" t="s">
        <v>1256</v>
      </c>
      <c r="D121" s="76" t="s">
        <v>5430</v>
      </c>
      <c r="E121" s="62" t="s">
        <v>1629</v>
      </c>
      <c r="F121" s="62" t="s">
        <v>5301</v>
      </c>
    </row>
    <row r="122" spans="1:6" ht="15" customHeight="1" x14ac:dyDescent="0.15">
      <c r="A122" s="64" t="s">
        <v>1254</v>
      </c>
      <c r="B122" s="67" t="s">
        <v>577</v>
      </c>
      <c r="C122" s="64" t="s">
        <v>1257</v>
      </c>
      <c r="D122" s="76" t="s">
        <v>5430</v>
      </c>
      <c r="E122" s="62" t="s">
        <v>1653</v>
      </c>
      <c r="F122" s="58" t="s">
        <v>5302</v>
      </c>
    </row>
    <row r="123" spans="1:6" ht="24" customHeight="1" x14ac:dyDescent="0.15">
      <c r="A123" s="64" t="s">
        <v>1254</v>
      </c>
      <c r="B123" s="67" t="s">
        <v>1258</v>
      </c>
      <c r="C123" s="64" t="s">
        <v>1259</v>
      </c>
      <c r="D123" s="76" t="s">
        <v>5435</v>
      </c>
      <c r="E123" s="62" t="s">
        <v>5303</v>
      </c>
      <c r="F123" s="62" t="s">
        <v>5363</v>
      </c>
    </row>
    <row r="124" spans="1:6" ht="15" customHeight="1" x14ac:dyDescent="0.15">
      <c r="A124" s="64" t="s">
        <v>1254</v>
      </c>
      <c r="B124" s="67" t="s">
        <v>1260</v>
      </c>
      <c r="C124" s="64" t="s">
        <v>1261</v>
      </c>
      <c r="D124" s="76" t="s">
        <v>5430</v>
      </c>
      <c r="E124" s="62" t="s">
        <v>1654</v>
      </c>
      <c r="F124" s="73" t="s">
        <v>5365</v>
      </c>
    </row>
    <row r="125" spans="1:6" ht="15" customHeight="1" x14ac:dyDescent="0.15">
      <c r="A125" s="64" t="s">
        <v>1254</v>
      </c>
      <c r="B125" s="67" t="s">
        <v>580</v>
      </c>
      <c r="C125" s="64" t="s">
        <v>1262</v>
      </c>
      <c r="D125" s="76" t="s">
        <v>5435</v>
      </c>
      <c r="E125" s="62" t="s">
        <v>332</v>
      </c>
      <c r="F125" s="56" t="s">
        <v>5366</v>
      </c>
    </row>
    <row r="126" spans="1:6" ht="15" customHeight="1" x14ac:dyDescent="0.15">
      <c r="A126" s="64" t="s">
        <v>1254</v>
      </c>
      <c r="B126" s="67" t="s">
        <v>726</v>
      </c>
      <c r="C126" s="64" t="s">
        <v>1263</v>
      </c>
      <c r="D126" s="76" t="s">
        <v>5435</v>
      </c>
      <c r="E126" s="62" t="s">
        <v>5304</v>
      </c>
      <c r="F126" s="56" t="s">
        <v>5286</v>
      </c>
    </row>
    <row r="127" spans="1:6" ht="21" customHeight="1" x14ac:dyDescent="0.15">
      <c r="A127" s="64" t="s">
        <v>1254</v>
      </c>
      <c r="B127" s="70" t="s">
        <v>494</v>
      </c>
      <c r="C127" s="64" t="s">
        <v>1264</v>
      </c>
      <c r="D127" s="76" t="s">
        <v>5430</v>
      </c>
      <c r="E127" s="62" t="s">
        <v>1665</v>
      </c>
      <c r="F127" s="62" t="s">
        <v>5364</v>
      </c>
    </row>
    <row r="128" spans="1:6" ht="24" customHeight="1" x14ac:dyDescent="0.15">
      <c r="A128" s="64" t="s">
        <v>1254</v>
      </c>
      <c r="B128" s="70" t="s">
        <v>1265</v>
      </c>
      <c r="C128" s="64" t="s">
        <v>1266</v>
      </c>
      <c r="D128" s="76" t="s">
        <v>5432</v>
      </c>
      <c r="E128" s="62" t="s">
        <v>1646</v>
      </c>
      <c r="F128" s="59" t="s">
        <v>5276</v>
      </c>
    </row>
    <row r="129" spans="1:6" ht="24" customHeight="1" x14ac:dyDescent="0.15">
      <c r="A129" s="64" t="s">
        <v>1254</v>
      </c>
      <c r="B129" s="70" t="s">
        <v>1267</v>
      </c>
      <c r="C129" s="64" t="s">
        <v>1268</v>
      </c>
      <c r="D129" s="76" t="s">
        <v>5432</v>
      </c>
      <c r="E129" s="62" t="s">
        <v>1125</v>
      </c>
      <c r="F129" s="56" t="s">
        <v>1579</v>
      </c>
    </row>
    <row r="130" spans="1:6" ht="24" customHeight="1" x14ac:dyDescent="0.15">
      <c r="A130" s="64" t="s">
        <v>1254</v>
      </c>
      <c r="B130" s="70" t="s">
        <v>728</v>
      </c>
      <c r="C130" s="64" t="s">
        <v>1269</v>
      </c>
      <c r="D130" s="76" t="s">
        <v>5432</v>
      </c>
      <c r="E130" s="62" t="s">
        <v>5438</v>
      </c>
    </row>
    <row r="131" spans="1:6" ht="27" customHeight="1" x14ac:dyDescent="0.15">
      <c r="A131" s="64" t="s">
        <v>1254</v>
      </c>
      <c r="B131" s="70" t="s">
        <v>1270</v>
      </c>
      <c r="C131" s="64" t="s">
        <v>1271</v>
      </c>
      <c r="D131" s="76" t="s">
        <v>5430</v>
      </c>
      <c r="E131" s="62" t="s">
        <v>1666</v>
      </c>
      <c r="F131" s="56" t="s">
        <v>5305</v>
      </c>
    </row>
    <row r="132" spans="1:6" ht="24" customHeight="1" x14ac:dyDescent="0.15">
      <c r="A132" s="64" t="s">
        <v>1254</v>
      </c>
      <c r="B132" s="70" t="s">
        <v>1272</v>
      </c>
      <c r="C132" s="64" t="s">
        <v>1273</v>
      </c>
      <c r="D132" s="76" t="s">
        <v>5432</v>
      </c>
      <c r="E132" s="62" t="s">
        <v>1667</v>
      </c>
      <c r="F132" s="56" t="s">
        <v>5306</v>
      </c>
    </row>
    <row r="133" spans="1:6" ht="22" customHeight="1" x14ac:dyDescent="0.15">
      <c r="A133" s="64" t="s">
        <v>1254</v>
      </c>
      <c r="B133" s="70" t="s">
        <v>1274</v>
      </c>
      <c r="C133" s="64" t="s">
        <v>1275</v>
      </c>
      <c r="D133" s="76" t="s">
        <v>5430</v>
      </c>
      <c r="E133" s="62" t="s">
        <v>1668</v>
      </c>
      <c r="F133" s="56" t="s">
        <v>5306</v>
      </c>
    </row>
    <row r="134" spans="1:6" ht="24" customHeight="1" x14ac:dyDescent="0.15">
      <c r="A134" s="64" t="s">
        <v>1254</v>
      </c>
      <c r="B134" s="70" t="s">
        <v>730</v>
      </c>
      <c r="C134" s="64" t="s">
        <v>1276</v>
      </c>
      <c r="D134" s="76" t="s">
        <v>5430</v>
      </c>
      <c r="E134" s="62" t="s">
        <v>1669</v>
      </c>
      <c r="F134" s="56" t="s">
        <v>5307</v>
      </c>
    </row>
    <row r="135" spans="1:6" ht="15" customHeight="1" x14ac:dyDescent="0.15">
      <c r="A135" s="64" t="s">
        <v>1254</v>
      </c>
      <c r="B135" s="70" t="s">
        <v>731</v>
      </c>
      <c r="C135" s="64" t="s">
        <v>1277</v>
      </c>
      <c r="D135" s="76" t="s">
        <v>5432</v>
      </c>
      <c r="E135" s="62" t="s">
        <v>1646</v>
      </c>
      <c r="F135" s="59" t="s">
        <v>5276</v>
      </c>
    </row>
    <row r="136" spans="1:6" ht="24" customHeight="1" x14ac:dyDescent="0.15">
      <c r="A136" s="64" t="s">
        <v>1254</v>
      </c>
      <c r="B136" s="70" t="s">
        <v>1278</v>
      </c>
      <c r="C136" s="64" t="s">
        <v>1279</v>
      </c>
      <c r="D136" s="76" t="s">
        <v>5432</v>
      </c>
      <c r="E136" s="62" t="s">
        <v>1125</v>
      </c>
      <c r="F136" s="56" t="s">
        <v>1579</v>
      </c>
    </row>
    <row r="137" spans="1:6" ht="24" customHeight="1" x14ac:dyDescent="0.15">
      <c r="A137" s="64" t="s">
        <v>1254</v>
      </c>
      <c r="B137" s="70" t="s">
        <v>1280</v>
      </c>
      <c r="C137" s="64" t="s">
        <v>1281</v>
      </c>
      <c r="D137" s="76" t="s">
        <v>5432</v>
      </c>
      <c r="E137" s="62" t="s">
        <v>1670</v>
      </c>
      <c r="F137" s="56" t="s">
        <v>5308</v>
      </c>
    </row>
    <row r="138" spans="1:6" ht="15" customHeight="1" x14ac:dyDescent="0.15">
      <c r="A138" s="64" t="s">
        <v>1254</v>
      </c>
      <c r="B138" s="70" t="s">
        <v>1282</v>
      </c>
      <c r="C138" s="64" t="s">
        <v>1283</v>
      </c>
      <c r="D138" s="76" t="s">
        <v>5288</v>
      </c>
      <c r="E138" s="62" t="s">
        <v>1631</v>
      </c>
    </row>
    <row r="139" spans="1:6" ht="24" customHeight="1" x14ac:dyDescent="0.15">
      <c r="A139" s="64" t="s">
        <v>1254</v>
      </c>
      <c r="B139" s="70" t="s">
        <v>584</v>
      </c>
      <c r="C139" s="64" t="s">
        <v>1284</v>
      </c>
      <c r="D139" s="76" t="s">
        <v>5432</v>
      </c>
      <c r="E139" s="62" t="s">
        <v>1671</v>
      </c>
      <c r="F139" s="56" t="s">
        <v>5309</v>
      </c>
    </row>
    <row r="140" spans="1:6" ht="15" customHeight="1" x14ac:dyDescent="0.15">
      <c r="A140" s="64" t="s">
        <v>1254</v>
      </c>
      <c r="B140" s="70" t="s">
        <v>373</v>
      </c>
      <c r="C140" s="64" t="s">
        <v>1285</v>
      </c>
      <c r="D140" s="76" t="s">
        <v>5288</v>
      </c>
      <c r="E140" s="62" t="s">
        <v>1631</v>
      </c>
    </row>
    <row r="141" spans="1:6" ht="15" customHeight="1" x14ac:dyDescent="0.15">
      <c r="A141" s="64" t="s">
        <v>1254</v>
      </c>
      <c r="B141" s="70" t="s">
        <v>1286</v>
      </c>
      <c r="C141" s="64" t="s">
        <v>1287</v>
      </c>
      <c r="D141" s="76" t="s">
        <v>5430</v>
      </c>
      <c r="E141" s="62" t="s">
        <v>1673</v>
      </c>
      <c r="F141" s="62" t="s">
        <v>5361</v>
      </c>
    </row>
    <row r="142" spans="1:6" ht="15" customHeight="1" x14ac:dyDescent="0.15">
      <c r="A142" s="64" t="s">
        <v>1254</v>
      </c>
      <c r="B142" s="70" t="s">
        <v>736</v>
      </c>
      <c r="C142" s="64" t="s">
        <v>1288</v>
      </c>
      <c r="D142" s="76" t="s">
        <v>5430</v>
      </c>
      <c r="E142" s="62" t="s">
        <v>1571</v>
      </c>
    </row>
    <row r="143" spans="1:6" ht="15" customHeight="1" x14ac:dyDescent="0.15">
      <c r="A143" s="64" t="s">
        <v>1254</v>
      </c>
      <c r="B143" s="70" t="s">
        <v>1289</v>
      </c>
      <c r="C143" s="64" t="s">
        <v>1290</v>
      </c>
      <c r="D143" s="76" t="s">
        <v>5430</v>
      </c>
      <c r="E143" s="62" t="s">
        <v>1571</v>
      </c>
    </row>
    <row r="144" spans="1:6" ht="24" customHeight="1" x14ac:dyDescent="0.15">
      <c r="A144" s="64" t="s">
        <v>1254</v>
      </c>
      <c r="B144" s="70" t="s">
        <v>1291</v>
      </c>
      <c r="C144" s="64" t="s">
        <v>1292</v>
      </c>
      <c r="D144" s="76" t="s">
        <v>5430</v>
      </c>
      <c r="E144" s="62" t="s">
        <v>1674</v>
      </c>
      <c r="F144" s="62" t="s">
        <v>5310</v>
      </c>
    </row>
    <row r="145" spans="1:6" ht="15" customHeight="1" x14ac:dyDescent="0.15">
      <c r="A145" s="64" t="s">
        <v>1254</v>
      </c>
      <c r="B145" s="70" t="s">
        <v>1293</v>
      </c>
      <c r="C145" s="64" t="s">
        <v>1294</v>
      </c>
      <c r="D145" s="76" t="s">
        <v>5430</v>
      </c>
      <c r="E145" s="62" t="s">
        <v>1675</v>
      </c>
      <c r="F145" s="60" t="s">
        <v>5242</v>
      </c>
    </row>
    <row r="146" spans="1:6" ht="15" customHeight="1" x14ac:dyDescent="0.15">
      <c r="A146" s="64" t="s">
        <v>1254</v>
      </c>
      <c r="B146" s="70" t="s">
        <v>1295</v>
      </c>
      <c r="C146" s="64" t="s">
        <v>1296</v>
      </c>
      <c r="D146" s="76" t="s">
        <v>44</v>
      </c>
      <c r="E146" s="62" t="s">
        <v>1631</v>
      </c>
    </row>
    <row r="147" spans="1:6" ht="29" customHeight="1" x14ac:dyDescent="0.15">
      <c r="A147" s="64" t="s">
        <v>1254</v>
      </c>
      <c r="B147" s="70" t="s">
        <v>1297</v>
      </c>
      <c r="C147" s="64" t="s">
        <v>1298</v>
      </c>
      <c r="D147" s="76" t="s">
        <v>5432</v>
      </c>
      <c r="E147" s="62" t="s">
        <v>5311</v>
      </c>
      <c r="F147" s="56" t="s">
        <v>5312</v>
      </c>
    </row>
    <row r="148" spans="1:6" ht="23" customHeight="1" x14ac:dyDescent="0.15">
      <c r="A148" s="64" t="s">
        <v>1254</v>
      </c>
      <c r="B148" s="70" t="s">
        <v>742</v>
      </c>
      <c r="C148" s="64" t="s">
        <v>1299</v>
      </c>
      <c r="D148" s="76" t="s">
        <v>5430</v>
      </c>
      <c r="E148" s="62" t="s">
        <v>5240</v>
      </c>
      <c r="F148" s="62" t="s">
        <v>5313</v>
      </c>
    </row>
    <row r="149" spans="1:6" ht="15" customHeight="1" x14ac:dyDescent="0.15">
      <c r="A149" s="64" t="s">
        <v>1254</v>
      </c>
      <c r="B149" s="70" t="s">
        <v>1300</v>
      </c>
      <c r="C149" s="64" t="s">
        <v>1301</v>
      </c>
      <c r="D149" s="76" t="s">
        <v>5430</v>
      </c>
      <c r="E149" s="62" t="s">
        <v>1686</v>
      </c>
      <c r="F149" s="59" t="s">
        <v>5314</v>
      </c>
    </row>
    <row r="150" spans="1:6" ht="15" customHeight="1" x14ac:dyDescent="0.15">
      <c r="A150" s="64" t="s">
        <v>1254</v>
      </c>
      <c r="B150" s="70" t="s">
        <v>1302</v>
      </c>
      <c r="C150" s="64" t="s">
        <v>1303</v>
      </c>
      <c r="D150" s="76" t="s">
        <v>5435</v>
      </c>
      <c r="E150" s="62" t="s">
        <v>1692</v>
      </c>
      <c r="F150" s="56" t="s">
        <v>5367</v>
      </c>
    </row>
    <row r="151" spans="1:6" ht="15" customHeight="1" x14ac:dyDescent="0.15">
      <c r="A151" s="64" t="s">
        <v>1254</v>
      </c>
      <c r="B151" s="70" t="s">
        <v>1304</v>
      </c>
      <c r="C151" s="64" t="s">
        <v>1305</v>
      </c>
      <c r="D151" s="76" t="s">
        <v>5435</v>
      </c>
      <c r="E151" s="62" t="s">
        <v>1662</v>
      </c>
      <c r="F151" s="62" t="s">
        <v>5359</v>
      </c>
    </row>
    <row r="152" spans="1:6" ht="24" customHeight="1" x14ac:dyDescent="0.15">
      <c r="A152" s="64" t="s">
        <v>1254</v>
      </c>
      <c r="B152" s="70" t="s">
        <v>745</v>
      </c>
      <c r="C152" s="64" t="s">
        <v>1306</v>
      </c>
      <c r="D152" s="76" t="s">
        <v>5435</v>
      </c>
      <c r="E152" s="62" t="s">
        <v>5368</v>
      </c>
      <c r="F152" s="62" t="s">
        <v>5369</v>
      </c>
    </row>
    <row r="153" spans="1:6" ht="15" customHeight="1" x14ac:dyDescent="0.15">
      <c r="A153" s="64" t="s">
        <v>1254</v>
      </c>
      <c r="B153" s="70" t="s">
        <v>746</v>
      </c>
      <c r="C153" s="64" t="s">
        <v>1307</v>
      </c>
      <c r="D153" s="76" t="s">
        <v>5430</v>
      </c>
      <c r="E153" s="62" t="s">
        <v>5316</v>
      </c>
      <c r="F153" s="62" t="s">
        <v>5362</v>
      </c>
    </row>
    <row r="154" spans="1:6" ht="24" customHeight="1" x14ac:dyDescent="0.15">
      <c r="A154" s="64" t="s">
        <v>1254</v>
      </c>
      <c r="B154" s="70" t="s">
        <v>384</v>
      </c>
      <c r="C154" s="64" t="s">
        <v>1308</v>
      </c>
      <c r="D154" s="76" t="s">
        <v>5435</v>
      </c>
      <c r="E154" s="62" t="s">
        <v>1693</v>
      </c>
      <c r="F154" s="62" t="s">
        <v>5370</v>
      </c>
    </row>
    <row r="155" spans="1:6" ht="15" customHeight="1" x14ac:dyDescent="0.15">
      <c r="A155" s="64" t="s">
        <v>1254</v>
      </c>
      <c r="B155" s="70" t="s">
        <v>747</v>
      </c>
      <c r="C155" s="64" t="s">
        <v>1309</v>
      </c>
      <c r="D155" s="76" t="s">
        <v>5435</v>
      </c>
      <c r="E155" s="62" t="s">
        <v>5205</v>
      </c>
      <c r="F155" s="56" t="s">
        <v>1617</v>
      </c>
    </row>
    <row r="156" spans="1:6" ht="15" customHeight="1" x14ac:dyDescent="0.15">
      <c r="A156" s="64" t="s">
        <v>1254</v>
      </c>
      <c r="B156" s="70" t="s">
        <v>748</v>
      </c>
      <c r="C156" s="64" t="s">
        <v>1310</v>
      </c>
      <c r="D156" s="76" t="s">
        <v>5432</v>
      </c>
      <c r="E156" s="62" t="s">
        <v>1704</v>
      </c>
    </row>
    <row r="157" spans="1:6" ht="24" customHeight="1" x14ac:dyDescent="0.15">
      <c r="A157" s="64" t="s">
        <v>1254</v>
      </c>
      <c r="B157" s="70" t="s">
        <v>749</v>
      </c>
      <c r="C157" s="64" t="s">
        <v>1311</v>
      </c>
      <c r="D157" s="76" t="s">
        <v>5432</v>
      </c>
      <c r="E157" s="62" t="s">
        <v>1704</v>
      </c>
    </row>
    <row r="158" spans="1:6" ht="15" customHeight="1" x14ac:dyDescent="0.15">
      <c r="A158" s="64" t="s">
        <v>1254</v>
      </c>
      <c r="B158" s="70" t="s">
        <v>750</v>
      </c>
      <c r="C158" s="64" t="s">
        <v>1312</v>
      </c>
      <c r="D158" s="76" t="s">
        <v>5432</v>
      </c>
      <c r="E158" s="62" t="s">
        <v>1662</v>
      </c>
      <c r="F158" s="62" t="s">
        <v>5359</v>
      </c>
    </row>
    <row r="159" spans="1:6" ht="24" customHeight="1" x14ac:dyDescent="0.15">
      <c r="A159" s="64" t="s">
        <v>1254</v>
      </c>
      <c r="B159" s="70" t="s">
        <v>1313</v>
      </c>
      <c r="C159" s="64" t="s">
        <v>1314</v>
      </c>
      <c r="D159" s="76" t="s">
        <v>5430</v>
      </c>
      <c r="E159" s="62" t="s">
        <v>205</v>
      </c>
      <c r="F159" s="56" t="s">
        <v>5180</v>
      </c>
    </row>
    <row r="160" spans="1:6" ht="15" customHeight="1" x14ac:dyDescent="0.15">
      <c r="A160" s="64" t="s">
        <v>1254</v>
      </c>
      <c r="B160" s="70" t="s">
        <v>1315</v>
      </c>
      <c r="C160" s="64" t="s">
        <v>1316</v>
      </c>
      <c r="D160" s="76" t="s">
        <v>5432</v>
      </c>
      <c r="E160" s="62" t="s">
        <v>205</v>
      </c>
      <c r="F160" s="56" t="s">
        <v>5180</v>
      </c>
    </row>
    <row r="161" spans="1:6" ht="24" customHeight="1" x14ac:dyDescent="0.15">
      <c r="A161" s="64" t="s">
        <v>1254</v>
      </c>
      <c r="B161" s="70" t="s">
        <v>1317</v>
      </c>
      <c r="C161" s="64" t="s">
        <v>1318</v>
      </c>
      <c r="D161" s="76" t="s">
        <v>5430</v>
      </c>
      <c r="E161" s="62" t="s">
        <v>205</v>
      </c>
      <c r="F161" s="56" t="s">
        <v>5180</v>
      </c>
    </row>
    <row r="162" spans="1:6" ht="24" customHeight="1" x14ac:dyDescent="0.15">
      <c r="A162" s="64" t="s">
        <v>1254</v>
      </c>
      <c r="B162" s="70" t="s">
        <v>1319</v>
      </c>
      <c r="C162" s="64" t="s">
        <v>1320</v>
      </c>
      <c r="D162" s="76" t="s">
        <v>5430</v>
      </c>
      <c r="E162" s="62" t="s">
        <v>5352</v>
      </c>
      <c r="F162" s="62" t="s">
        <v>5353</v>
      </c>
    </row>
    <row r="163" spans="1:6" ht="24" customHeight="1" x14ac:dyDescent="0.15">
      <c r="A163" s="64" t="s">
        <v>1254</v>
      </c>
      <c r="B163" s="70" t="s">
        <v>753</v>
      </c>
      <c r="C163" s="64" t="s">
        <v>1321</v>
      </c>
      <c r="D163" s="76" t="s">
        <v>5430</v>
      </c>
      <c r="E163" s="62" t="s">
        <v>1646</v>
      </c>
      <c r="F163" s="59" t="s">
        <v>5276</v>
      </c>
    </row>
    <row r="164" spans="1:6" ht="15" customHeight="1" x14ac:dyDescent="0.15">
      <c r="A164" s="64" t="s">
        <v>1254</v>
      </c>
      <c r="B164" s="70" t="s">
        <v>754</v>
      </c>
      <c r="C164" s="64" t="s">
        <v>1322</v>
      </c>
      <c r="D164" s="76" t="s">
        <v>5430</v>
      </c>
      <c r="E164" s="62" t="s">
        <v>1646</v>
      </c>
      <c r="F164" s="59" t="s">
        <v>5276</v>
      </c>
    </row>
    <row r="165" spans="1:6" ht="15" customHeight="1" x14ac:dyDescent="0.15">
      <c r="A165" s="64" t="s">
        <v>1254</v>
      </c>
      <c r="B165" s="70" t="s">
        <v>1323</v>
      </c>
      <c r="C165" s="64" t="s">
        <v>1324</v>
      </c>
      <c r="D165" s="76" t="s">
        <v>5430</v>
      </c>
      <c r="E165" s="62" t="s">
        <v>1670</v>
      </c>
      <c r="F165" s="56" t="s">
        <v>5308</v>
      </c>
    </row>
    <row r="166" spans="1:6" ht="15" customHeight="1" x14ac:dyDescent="0.15">
      <c r="A166" s="64" t="s">
        <v>1254</v>
      </c>
      <c r="B166" s="70" t="s">
        <v>499</v>
      </c>
      <c r="C166" s="64" t="s">
        <v>1325</v>
      </c>
      <c r="D166" s="76" t="s">
        <v>5430</v>
      </c>
      <c r="E166" s="62" t="s">
        <v>5371</v>
      </c>
      <c r="F166" s="62" t="s">
        <v>5372</v>
      </c>
    </row>
    <row r="167" spans="1:6" ht="15" customHeight="1" x14ac:dyDescent="0.15">
      <c r="A167" s="64" t="s">
        <v>1254</v>
      </c>
      <c r="B167" s="70" t="s">
        <v>1326</v>
      </c>
      <c r="C167" s="64" t="s">
        <v>1327</v>
      </c>
      <c r="D167" s="76" t="s">
        <v>5430</v>
      </c>
      <c r="E167" s="62" t="s">
        <v>1705</v>
      </c>
      <c r="F167" s="59" t="s">
        <v>5373</v>
      </c>
    </row>
    <row r="168" spans="1:6" ht="15" customHeight="1" x14ac:dyDescent="0.15">
      <c r="A168" s="64" t="s">
        <v>1254</v>
      </c>
      <c r="B168" s="70" t="s">
        <v>589</v>
      </c>
      <c r="C168" s="64" t="s">
        <v>1328</v>
      </c>
      <c r="D168" s="76" t="s">
        <v>5430</v>
      </c>
      <c r="E168" s="62" t="s">
        <v>1675</v>
      </c>
      <c r="F168" s="60" t="s">
        <v>5242</v>
      </c>
    </row>
    <row r="169" spans="1:6" ht="15" customHeight="1" x14ac:dyDescent="0.15">
      <c r="A169" s="64" t="s">
        <v>1254</v>
      </c>
      <c r="B169" s="70" t="s">
        <v>590</v>
      </c>
      <c r="C169" s="64" t="s">
        <v>1329</v>
      </c>
      <c r="D169" s="76" t="s">
        <v>5430</v>
      </c>
      <c r="E169" s="62" t="s">
        <v>1692</v>
      </c>
      <c r="F169" s="56" t="s">
        <v>5315</v>
      </c>
    </row>
    <row r="170" spans="1:6" ht="15" customHeight="1" x14ac:dyDescent="0.15">
      <c r="A170" s="64" t="s">
        <v>1254</v>
      </c>
      <c r="B170" s="70" t="s">
        <v>756</v>
      </c>
      <c r="C170" s="64" t="s">
        <v>1330</v>
      </c>
      <c r="D170" s="76" t="s">
        <v>5435</v>
      </c>
      <c r="E170" s="62" t="s">
        <v>1710</v>
      </c>
      <c r="F170" s="62" t="s">
        <v>5374</v>
      </c>
    </row>
    <row r="171" spans="1:6" ht="15" customHeight="1" x14ac:dyDescent="0.15">
      <c r="A171" s="64" t="s">
        <v>1254</v>
      </c>
      <c r="B171" s="70" t="s">
        <v>757</v>
      </c>
      <c r="C171" s="64" t="s">
        <v>1331</v>
      </c>
      <c r="D171" s="76" t="s">
        <v>5430</v>
      </c>
      <c r="E171" s="62" t="s">
        <v>1692</v>
      </c>
      <c r="F171" s="58" t="s">
        <v>5315</v>
      </c>
    </row>
    <row r="172" spans="1:6" ht="24" customHeight="1" x14ac:dyDescent="0.15">
      <c r="A172" s="64" t="s">
        <v>1254</v>
      </c>
      <c r="B172" s="70" t="s">
        <v>758</v>
      </c>
      <c r="C172" s="64" t="s">
        <v>1332</v>
      </c>
      <c r="D172" s="76" t="s">
        <v>5435</v>
      </c>
      <c r="E172" s="62" t="s">
        <v>1712</v>
      </c>
      <c r="F172" s="62" t="s">
        <v>5354</v>
      </c>
    </row>
    <row r="173" spans="1:6" ht="24" customHeight="1" x14ac:dyDescent="0.15">
      <c r="A173" s="64" t="s">
        <v>1254</v>
      </c>
      <c r="B173" s="70" t="s">
        <v>1333</v>
      </c>
      <c r="C173" s="64" t="s">
        <v>1334</v>
      </c>
      <c r="D173" s="76" t="s">
        <v>5430</v>
      </c>
      <c r="E173" s="62" t="s">
        <v>1662</v>
      </c>
      <c r="F173" s="56" t="s">
        <v>5356</v>
      </c>
    </row>
    <row r="174" spans="1:6" ht="24" customHeight="1" x14ac:dyDescent="0.15">
      <c r="A174" s="64" t="s">
        <v>1254</v>
      </c>
      <c r="B174" s="70" t="s">
        <v>760</v>
      </c>
      <c r="C174" s="64" t="s">
        <v>1335</v>
      </c>
      <c r="D174" s="76" t="s">
        <v>5430</v>
      </c>
      <c r="E174" s="62" t="s">
        <v>1654</v>
      </c>
      <c r="F174" s="56" t="s">
        <v>5355</v>
      </c>
    </row>
    <row r="175" spans="1:6" ht="24" customHeight="1" x14ac:dyDescent="0.15">
      <c r="A175" s="64" t="s">
        <v>1254</v>
      </c>
      <c r="B175" s="70" t="s">
        <v>761</v>
      </c>
      <c r="C175" s="64" t="s">
        <v>1336</v>
      </c>
      <c r="D175" s="76" t="s">
        <v>5430</v>
      </c>
      <c r="E175" s="62" t="s">
        <v>1125</v>
      </c>
      <c r="F175" s="56" t="s">
        <v>1579</v>
      </c>
    </row>
    <row r="176" spans="1:6" ht="15" customHeight="1" x14ac:dyDescent="0.15">
      <c r="A176" s="64" t="s">
        <v>1254</v>
      </c>
      <c r="B176" s="70" t="s">
        <v>450</v>
      </c>
      <c r="C176" s="64" t="s">
        <v>1337</v>
      </c>
      <c r="D176" s="76" t="s">
        <v>5435</v>
      </c>
      <c r="E176" s="62" t="s">
        <v>1714</v>
      </c>
      <c r="F176" s="56" t="s">
        <v>5318</v>
      </c>
    </row>
    <row r="177" spans="1:6" ht="24" customHeight="1" x14ac:dyDescent="0.15">
      <c r="A177" s="64" t="s">
        <v>1254</v>
      </c>
      <c r="B177" s="70" t="s">
        <v>463</v>
      </c>
      <c r="C177" s="64" t="s">
        <v>1338</v>
      </c>
      <c r="D177" s="76" t="s">
        <v>5430</v>
      </c>
      <c r="E177" s="62" t="s">
        <v>1654</v>
      </c>
      <c r="F177" s="56" t="s">
        <v>5317</v>
      </c>
    </row>
    <row r="178" spans="1:6" ht="15" customHeight="1" x14ac:dyDescent="0.15">
      <c r="A178" s="64" t="s">
        <v>1254</v>
      </c>
      <c r="B178" s="67" t="s">
        <v>762</v>
      </c>
      <c r="C178" s="64" t="s">
        <v>1339</v>
      </c>
      <c r="D178" s="76" t="s">
        <v>5435</v>
      </c>
      <c r="E178" s="62" t="s">
        <v>1698</v>
      </c>
      <c r="F178" s="62" t="s">
        <v>5294</v>
      </c>
    </row>
    <row r="179" spans="1:6" ht="24" customHeight="1" x14ac:dyDescent="0.15">
      <c r="A179" s="64" t="s">
        <v>1254</v>
      </c>
      <c r="B179" s="67" t="s">
        <v>586</v>
      </c>
      <c r="C179" s="64" t="s">
        <v>1340</v>
      </c>
      <c r="D179" s="76" t="s">
        <v>5430</v>
      </c>
      <c r="E179" s="62" t="s">
        <v>1623</v>
      </c>
      <c r="F179" s="56" t="s">
        <v>1624</v>
      </c>
    </row>
    <row r="180" spans="1:6" ht="15" customHeight="1" x14ac:dyDescent="0.15">
      <c r="A180" s="64" t="s">
        <v>1254</v>
      </c>
      <c r="B180" s="67" t="s">
        <v>763</v>
      </c>
      <c r="C180" s="64" t="s">
        <v>1341</v>
      </c>
      <c r="D180" s="76" t="s">
        <v>5430</v>
      </c>
      <c r="E180" s="62" t="s">
        <v>1640</v>
      </c>
      <c r="F180" s="56" t="s">
        <v>5264</v>
      </c>
    </row>
    <row r="181" spans="1:6" ht="24" customHeight="1" x14ac:dyDescent="0.15">
      <c r="A181" s="64" t="s">
        <v>1254</v>
      </c>
      <c r="B181" s="67" t="s">
        <v>432</v>
      </c>
      <c r="C181" s="64" t="s">
        <v>1342</v>
      </c>
      <c r="D181" s="76" t="s">
        <v>5435</v>
      </c>
      <c r="E181" s="62" t="s">
        <v>1698</v>
      </c>
      <c r="F181" s="62" t="s">
        <v>5294</v>
      </c>
    </row>
    <row r="182" spans="1:6" ht="24" customHeight="1" x14ac:dyDescent="0.15">
      <c r="A182" s="64" t="s">
        <v>1254</v>
      </c>
      <c r="B182" s="67" t="s">
        <v>1343</v>
      </c>
      <c r="C182" s="64" t="s">
        <v>1344</v>
      </c>
      <c r="D182" s="76" t="s">
        <v>5435</v>
      </c>
      <c r="E182" s="62" t="s">
        <v>205</v>
      </c>
      <c r="F182" s="56" t="s">
        <v>5180</v>
      </c>
    </row>
    <row r="183" spans="1:6" ht="24" customHeight="1" x14ac:dyDescent="0.15">
      <c r="A183" s="64" t="s">
        <v>1254</v>
      </c>
      <c r="B183" s="67" t="s">
        <v>765</v>
      </c>
      <c r="C183" s="64" t="s">
        <v>1345</v>
      </c>
      <c r="D183" s="76" t="s">
        <v>5435</v>
      </c>
      <c r="E183" s="62" t="s">
        <v>1731</v>
      </c>
      <c r="F183" s="62" t="s">
        <v>5350</v>
      </c>
    </row>
    <row r="184" spans="1:6" ht="24" customHeight="1" x14ac:dyDescent="0.15">
      <c r="A184" s="64" t="s">
        <v>1254</v>
      </c>
      <c r="B184" s="67" t="s">
        <v>433</v>
      </c>
      <c r="C184" s="64" t="s">
        <v>1346</v>
      </c>
      <c r="D184" s="76" t="s">
        <v>5430</v>
      </c>
      <c r="E184" s="62" t="s">
        <v>1732</v>
      </c>
      <c r="F184" s="56" t="s">
        <v>5300</v>
      </c>
    </row>
    <row r="185" spans="1:6" ht="15" customHeight="1" x14ac:dyDescent="0.15">
      <c r="A185" s="64" t="s">
        <v>1254</v>
      </c>
      <c r="B185" s="67" t="s">
        <v>1347</v>
      </c>
      <c r="C185" s="64" t="s">
        <v>1348</v>
      </c>
      <c r="D185" s="76" t="s">
        <v>5430</v>
      </c>
      <c r="E185" s="62" t="s">
        <v>1660</v>
      </c>
      <c r="F185" s="56" t="s">
        <v>5289</v>
      </c>
    </row>
    <row r="186" spans="1:6" ht="15" customHeight="1" x14ac:dyDescent="0.15">
      <c r="A186" s="64" t="s">
        <v>1254</v>
      </c>
      <c r="B186" s="67" t="s">
        <v>587</v>
      </c>
      <c r="C186" s="64" t="s">
        <v>1349</v>
      </c>
      <c r="D186" s="76" t="s">
        <v>5430</v>
      </c>
      <c r="E186" s="62" t="s">
        <v>1623</v>
      </c>
      <c r="F186" s="56" t="s">
        <v>1624</v>
      </c>
    </row>
    <row r="187" spans="1:6" ht="15" customHeight="1" x14ac:dyDescent="0.15">
      <c r="A187" s="64" t="s">
        <v>1254</v>
      </c>
      <c r="B187" s="67" t="s">
        <v>505</v>
      </c>
      <c r="C187" s="64" t="s">
        <v>1350</v>
      </c>
      <c r="D187" s="76" t="s">
        <v>5430</v>
      </c>
      <c r="E187" s="62" t="s">
        <v>1646</v>
      </c>
      <c r="F187" s="59" t="s">
        <v>5276</v>
      </c>
    </row>
    <row r="188" spans="1:6" ht="15" customHeight="1" x14ac:dyDescent="0.15">
      <c r="A188" s="64" t="s">
        <v>1254</v>
      </c>
      <c r="B188" s="67" t="s">
        <v>389</v>
      </c>
      <c r="C188" s="64" t="s">
        <v>1351</v>
      </c>
      <c r="D188" s="76" t="s">
        <v>5432</v>
      </c>
      <c r="E188" s="62" t="s">
        <v>1646</v>
      </c>
      <c r="F188" s="59" t="s">
        <v>5276</v>
      </c>
    </row>
    <row r="189" spans="1:6" ht="15" customHeight="1" x14ac:dyDescent="0.15">
      <c r="A189" s="64" t="s">
        <v>1254</v>
      </c>
      <c r="B189" s="67" t="s">
        <v>1352</v>
      </c>
      <c r="C189" s="64" t="s">
        <v>1353</v>
      </c>
      <c r="D189" s="76" t="s">
        <v>5430</v>
      </c>
      <c r="E189" s="62" t="s">
        <v>1662</v>
      </c>
      <c r="F189" s="56" t="s">
        <v>5356</v>
      </c>
    </row>
    <row r="190" spans="1:6" ht="24" customHeight="1" x14ac:dyDescent="0.15">
      <c r="A190" s="64" t="s">
        <v>1254</v>
      </c>
      <c r="B190" s="67" t="s">
        <v>767</v>
      </c>
      <c r="C190" s="64" t="s">
        <v>1354</v>
      </c>
      <c r="D190" s="76" t="s">
        <v>5430</v>
      </c>
      <c r="E190" s="62" t="s">
        <v>1733</v>
      </c>
      <c r="F190" s="62" t="s">
        <v>5351</v>
      </c>
    </row>
    <row r="191" spans="1:6" ht="24" customHeight="1" x14ac:dyDescent="0.15">
      <c r="A191" s="64" t="s">
        <v>1254</v>
      </c>
      <c r="B191" s="67" t="s">
        <v>592</v>
      </c>
      <c r="C191" s="64" t="s">
        <v>1355</v>
      </c>
      <c r="D191" s="76" t="s">
        <v>5430</v>
      </c>
      <c r="E191" s="62" t="s">
        <v>1692</v>
      </c>
      <c r="F191" s="56" t="s">
        <v>5315</v>
      </c>
    </row>
    <row r="192" spans="1:6" ht="24" customHeight="1" x14ac:dyDescent="0.15">
      <c r="A192" s="64" t="s">
        <v>1356</v>
      </c>
      <c r="B192" s="70" t="s">
        <v>622</v>
      </c>
      <c r="C192" s="64" t="s">
        <v>1357</v>
      </c>
      <c r="D192" s="76" t="s">
        <v>5432</v>
      </c>
      <c r="E192" s="62" t="s">
        <v>1623</v>
      </c>
      <c r="F192" s="56" t="s">
        <v>1624</v>
      </c>
    </row>
    <row r="193" spans="1:6" ht="24" customHeight="1" x14ac:dyDescent="0.15">
      <c r="A193" s="64" t="s">
        <v>1356</v>
      </c>
      <c r="B193" s="70" t="s">
        <v>768</v>
      </c>
      <c r="C193" s="64" t="s">
        <v>1358</v>
      </c>
      <c r="D193" s="76" t="s">
        <v>5288</v>
      </c>
      <c r="E193" s="62" t="s">
        <v>1631</v>
      </c>
    </row>
    <row r="194" spans="1:6" ht="15" customHeight="1" x14ac:dyDescent="0.15">
      <c r="A194" s="64" t="s">
        <v>1356</v>
      </c>
      <c r="B194" s="70" t="s">
        <v>1359</v>
      </c>
      <c r="C194" s="64" t="s">
        <v>1360</v>
      </c>
      <c r="D194" s="76" t="s">
        <v>5432</v>
      </c>
      <c r="E194" s="62" t="s">
        <v>1623</v>
      </c>
      <c r="F194" s="56" t="s">
        <v>1624</v>
      </c>
    </row>
    <row r="195" spans="1:6" ht="15" customHeight="1" x14ac:dyDescent="0.15">
      <c r="A195" s="64" t="s">
        <v>1356</v>
      </c>
      <c r="B195" s="70" t="s">
        <v>769</v>
      </c>
      <c r="C195" s="64" t="s">
        <v>1361</v>
      </c>
      <c r="D195" s="76" t="s">
        <v>5430</v>
      </c>
      <c r="E195" s="62" t="s">
        <v>1623</v>
      </c>
      <c r="F195" s="56" t="s">
        <v>1624</v>
      </c>
    </row>
    <row r="196" spans="1:6" ht="15" customHeight="1" x14ac:dyDescent="0.15">
      <c r="A196" s="64" t="s">
        <v>1356</v>
      </c>
      <c r="B196" s="70" t="s">
        <v>427</v>
      </c>
      <c r="C196" s="64" t="s">
        <v>1362</v>
      </c>
      <c r="D196" s="76" t="s">
        <v>5430</v>
      </c>
      <c r="E196" s="62" t="s">
        <v>1698</v>
      </c>
      <c r="F196" s="62" t="s">
        <v>5294</v>
      </c>
    </row>
    <row r="197" spans="1:6" ht="15" customHeight="1" x14ac:dyDescent="0.15">
      <c r="A197" s="64" t="s">
        <v>1356</v>
      </c>
      <c r="B197" s="70" t="s">
        <v>545</v>
      </c>
      <c r="C197" s="64" t="s">
        <v>1363</v>
      </c>
      <c r="D197" s="76" t="s">
        <v>5430</v>
      </c>
      <c r="E197" s="62" t="s">
        <v>1395</v>
      </c>
      <c r="F197" s="56" t="s">
        <v>1612</v>
      </c>
    </row>
    <row r="198" spans="1:6" ht="24" customHeight="1" x14ac:dyDescent="0.15">
      <c r="A198" s="64" t="s">
        <v>1356</v>
      </c>
      <c r="B198" s="70" t="s">
        <v>1364</v>
      </c>
      <c r="C198" s="64" t="s">
        <v>1365</v>
      </c>
      <c r="D198" s="76" t="s">
        <v>5430</v>
      </c>
      <c r="E198" s="62" t="s">
        <v>1623</v>
      </c>
      <c r="F198" s="56" t="s">
        <v>1624</v>
      </c>
    </row>
    <row r="199" spans="1:6" ht="24" customHeight="1" x14ac:dyDescent="0.15">
      <c r="A199" s="64" t="s">
        <v>1356</v>
      </c>
      <c r="B199" s="70" t="s">
        <v>770</v>
      </c>
      <c r="C199" s="64" t="s">
        <v>1366</v>
      </c>
      <c r="D199" s="76" t="s">
        <v>5430</v>
      </c>
      <c r="E199" s="62" t="s">
        <v>5375</v>
      </c>
      <c r="F199" s="56" t="s">
        <v>1624</v>
      </c>
    </row>
    <row r="200" spans="1:6" ht="15" customHeight="1" x14ac:dyDescent="0.15">
      <c r="A200" s="64" t="s">
        <v>1356</v>
      </c>
      <c r="B200" s="70" t="s">
        <v>771</v>
      </c>
      <c r="C200" s="64" t="s">
        <v>1367</v>
      </c>
      <c r="D200" s="76" t="s">
        <v>5288</v>
      </c>
      <c r="E200" s="62" t="s">
        <v>1699</v>
      </c>
      <c r="F200" s="74" t="s">
        <v>5416</v>
      </c>
    </row>
    <row r="201" spans="1:6" ht="15" customHeight="1" x14ac:dyDescent="0.15">
      <c r="A201" s="64" t="s">
        <v>1356</v>
      </c>
      <c r="B201" s="70" t="s">
        <v>1368</v>
      </c>
      <c r="C201" s="64" t="s">
        <v>1369</v>
      </c>
      <c r="D201" s="76" t="s">
        <v>5432</v>
      </c>
      <c r="E201" s="62" t="s">
        <v>1700</v>
      </c>
    </row>
    <row r="202" spans="1:6" ht="23" customHeight="1" x14ac:dyDescent="0.15">
      <c r="A202" s="64" t="s">
        <v>1356</v>
      </c>
      <c r="B202" s="70" t="s">
        <v>1370</v>
      </c>
      <c r="C202" s="64" t="s">
        <v>1371</v>
      </c>
      <c r="D202" s="76" t="s">
        <v>5430</v>
      </c>
      <c r="E202" s="62" t="s">
        <v>1625</v>
      </c>
      <c r="F202" s="56" t="s">
        <v>5295</v>
      </c>
    </row>
    <row r="203" spans="1:6" ht="15" customHeight="1" x14ac:dyDescent="0.15">
      <c r="A203" s="64" t="s">
        <v>1356</v>
      </c>
      <c r="B203" s="70" t="s">
        <v>370</v>
      </c>
      <c r="C203" s="64" t="s">
        <v>1372</v>
      </c>
      <c r="D203" s="76" t="s">
        <v>5430</v>
      </c>
      <c r="E203" s="62" t="s">
        <v>1623</v>
      </c>
      <c r="F203" s="56" t="s">
        <v>1624</v>
      </c>
    </row>
    <row r="204" spans="1:6" ht="28" customHeight="1" x14ac:dyDescent="0.15">
      <c r="A204" s="64" t="s">
        <v>1356</v>
      </c>
      <c r="B204" s="70" t="s">
        <v>1373</v>
      </c>
      <c r="C204" s="64" t="s">
        <v>1374</v>
      </c>
      <c r="D204" s="76" t="s">
        <v>5432</v>
      </c>
      <c r="E204" s="62" t="s">
        <v>1625</v>
      </c>
      <c r="F204" s="56" t="s">
        <v>5295</v>
      </c>
    </row>
    <row r="205" spans="1:6" ht="15" customHeight="1" x14ac:dyDescent="0.15">
      <c r="A205" s="64" t="s">
        <v>1356</v>
      </c>
      <c r="B205" s="70" t="s">
        <v>775</v>
      </c>
      <c r="C205" s="64" t="s">
        <v>1375</v>
      </c>
      <c r="D205" s="76" t="s">
        <v>5430</v>
      </c>
      <c r="E205" s="62" t="s">
        <v>1623</v>
      </c>
      <c r="F205" s="56" t="s">
        <v>1624</v>
      </c>
    </row>
    <row r="206" spans="1:6" ht="24" customHeight="1" x14ac:dyDescent="0.15">
      <c r="A206" s="64" t="s">
        <v>1356</v>
      </c>
      <c r="B206" s="70" t="s">
        <v>625</v>
      </c>
      <c r="C206" s="64" t="s">
        <v>1376</v>
      </c>
      <c r="D206" s="76" t="s">
        <v>5430</v>
      </c>
      <c r="E206" s="62" t="s">
        <v>1732</v>
      </c>
      <c r="F206" s="56" t="s">
        <v>5300</v>
      </c>
    </row>
    <row r="207" spans="1:6" ht="24" customHeight="1" x14ac:dyDescent="0.15">
      <c r="A207" s="64" t="s">
        <v>1356</v>
      </c>
      <c r="B207" s="70" t="s">
        <v>776</v>
      </c>
      <c r="C207" s="64" t="s">
        <v>1377</v>
      </c>
      <c r="D207" s="76" t="s">
        <v>5430</v>
      </c>
      <c r="E207" s="62" t="s">
        <v>1623</v>
      </c>
      <c r="F207" s="56" t="s">
        <v>1624</v>
      </c>
    </row>
    <row r="208" spans="1:6" ht="24" customHeight="1" x14ac:dyDescent="0.15">
      <c r="A208" s="64" t="s">
        <v>1356</v>
      </c>
      <c r="B208" s="70" t="s">
        <v>430</v>
      </c>
      <c r="C208" s="64" t="s">
        <v>1378</v>
      </c>
      <c r="D208" s="76" t="s">
        <v>5430</v>
      </c>
      <c r="E208" s="62" t="s">
        <v>5319</v>
      </c>
      <c r="F208" s="56" t="s">
        <v>5376</v>
      </c>
    </row>
    <row r="209" spans="1:6" ht="24" customHeight="1" x14ac:dyDescent="0.15">
      <c r="A209" s="64" t="s">
        <v>1356</v>
      </c>
      <c r="B209" s="70" t="s">
        <v>777</v>
      </c>
      <c r="C209" s="64" t="s">
        <v>1379</v>
      </c>
      <c r="D209" s="76" t="s">
        <v>5430</v>
      </c>
      <c r="E209" s="62" t="s">
        <v>1625</v>
      </c>
      <c r="F209" s="56" t="s">
        <v>5295</v>
      </c>
    </row>
    <row r="210" spans="1:6" ht="24" customHeight="1" x14ac:dyDescent="0.15">
      <c r="A210" s="64" t="s">
        <v>1356</v>
      </c>
      <c r="B210" s="70" t="s">
        <v>778</v>
      </c>
      <c r="C210" s="64" t="s">
        <v>1380</v>
      </c>
      <c r="D210" s="76" t="s">
        <v>5430</v>
      </c>
      <c r="E210" s="62" t="s">
        <v>1701</v>
      </c>
      <c r="F210" s="62" t="s">
        <v>5377</v>
      </c>
    </row>
    <row r="211" spans="1:6" ht="24" customHeight="1" x14ac:dyDescent="0.15">
      <c r="A211" s="64" t="s">
        <v>1356</v>
      </c>
      <c r="B211" s="70" t="s">
        <v>5417</v>
      </c>
      <c r="C211" s="64" t="s">
        <v>1381</v>
      </c>
      <c r="D211" s="76" t="s">
        <v>5432</v>
      </c>
      <c r="E211" s="62" t="s">
        <v>1625</v>
      </c>
      <c r="F211" s="56" t="s">
        <v>5295</v>
      </c>
    </row>
    <row r="212" spans="1:6" ht="24" customHeight="1" x14ac:dyDescent="0.15">
      <c r="A212" s="64" t="s">
        <v>1356</v>
      </c>
      <c r="B212" s="70" t="s">
        <v>1382</v>
      </c>
      <c r="C212" s="64" t="s">
        <v>1383</v>
      </c>
      <c r="D212" s="76" t="s">
        <v>5430</v>
      </c>
      <c r="E212" s="62" t="s">
        <v>1395</v>
      </c>
      <c r="F212" s="56" t="s">
        <v>1612</v>
      </c>
    </row>
    <row r="213" spans="1:6" ht="24" customHeight="1" x14ac:dyDescent="0.15">
      <c r="A213" s="64" t="s">
        <v>1356</v>
      </c>
      <c r="B213" s="70" t="s">
        <v>1384</v>
      </c>
      <c r="C213" s="64" t="s">
        <v>1385</v>
      </c>
      <c r="D213" s="76" t="s">
        <v>5430</v>
      </c>
      <c r="E213" s="62" t="s">
        <v>5378</v>
      </c>
      <c r="F213" s="62" t="s">
        <v>5379</v>
      </c>
    </row>
    <row r="214" spans="1:6" ht="24" customHeight="1" x14ac:dyDescent="0.15">
      <c r="A214" s="64" t="s">
        <v>1356</v>
      </c>
      <c r="B214" s="67" t="s">
        <v>380</v>
      </c>
      <c r="C214" s="64" t="s">
        <v>1386</v>
      </c>
      <c r="D214" s="76" t="s">
        <v>5430</v>
      </c>
      <c r="E214" s="62" t="s">
        <v>1623</v>
      </c>
      <c r="F214" s="56" t="s">
        <v>1624</v>
      </c>
    </row>
    <row r="215" spans="1:6" ht="20" customHeight="1" x14ac:dyDescent="0.15">
      <c r="A215" s="64" t="s">
        <v>1356</v>
      </c>
      <c r="B215" s="67" t="s">
        <v>626</v>
      </c>
      <c r="C215" s="64" t="s">
        <v>1387</v>
      </c>
      <c r="D215" s="76" t="s">
        <v>5432</v>
      </c>
      <c r="E215" s="62" t="s">
        <v>1734</v>
      </c>
      <c r="F215" s="56" t="s">
        <v>1624</v>
      </c>
    </row>
    <row r="216" spans="1:6" ht="15" customHeight="1" x14ac:dyDescent="0.15">
      <c r="A216" s="64" t="s">
        <v>1356</v>
      </c>
      <c r="B216" s="67" t="s">
        <v>780</v>
      </c>
      <c r="C216" s="64" t="s">
        <v>1388</v>
      </c>
      <c r="D216" s="76" t="s">
        <v>5430</v>
      </c>
      <c r="E216" s="62" t="s">
        <v>1395</v>
      </c>
      <c r="F216" s="56" t="s">
        <v>1612</v>
      </c>
    </row>
    <row r="217" spans="1:6" ht="15" customHeight="1" x14ac:dyDescent="0.15">
      <c r="A217" s="64" t="s">
        <v>1356</v>
      </c>
      <c r="B217" s="67" t="s">
        <v>1389</v>
      </c>
      <c r="C217" s="64" t="s">
        <v>1390</v>
      </c>
      <c r="D217" s="76" t="s">
        <v>5432</v>
      </c>
      <c r="E217" s="62" t="s">
        <v>1735</v>
      </c>
      <c r="F217" s="56" t="s">
        <v>5320</v>
      </c>
    </row>
    <row r="218" spans="1:6" ht="24" customHeight="1" x14ac:dyDescent="0.15">
      <c r="A218" s="77" t="s">
        <v>1356</v>
      </c>
      <c r="B218" s="78" t="s">
        <v>1391</v>
      </c>
      <c r="C218" s="64" t="s">
        <v>1392</v>
      </c>
      <c r="D218" s="76" t="s">
        <v>5430</v>
      </c>
      <c r="E218" s="62" t="s">
        <v>5321</v>
      </c>
    </row>
    <row r="219" spans="1:6" ht="15" customHeight="1" x14ac:dyDescent="0.15">
      <c r="A219" s="64" t="s">
        <v>1356</v>
      </c>
      <c r="B219" s="67" t="s">
        <v>782</v>
      </c>
      <c r="C219" s="64" t="s">
        <v>1393</v>
      </c>
      <c r="D219" s="76" t="s">
        <v>5432</v>
      </c>
      <c r="E219" s="62" t="s">
        <v>5322</v>
      </c>
      <c r="F219" s="56" t="s">
        <v>5323</v>
      </c>
    </row>
    <row r="220" spans="1:6" ht="24" customHeight="1" x14ac:dyDescent="0.15">
      <c r="A220" s="64" t="s">
        <v>1356</v>
      </c>
      <c r="B220" s="67" t="s">
        <v>510</v>
      </c>
      <c r="C220" s="64" t="s">
        <v>1394</v>
      </c>
      <c r="D220" s="76" t="s">
        <v>5430</v>
      </c>
      <c r="E220" s="62" t="s">
        <v>1735</v>
      </c>
      <c r="F220" s="56" t="s">
        <v>5323</v>
      </c>
    </row>
    <row r="221" spans="1:6" ht="20" customHeight="1" x14ac:dyDescent="0.15">
      <c r="A221" s="79" t="s">
        <v>1356</v>
      </c>
      <c r="B221" s="80" t="s">
        <v>1396</v>
      </c>
      <c r="C221" s="64" t="s">
        <v>1397</v>
      </c>
      <c r="D221" s="76" t="s">
        <v>5430</v>
      </c>
      <c r="E221" s="62" t="s">
        <v>1616</v>
      </c>
      <c r="F221" s="56" t="s">
        <v>5225</v>
      </c>
    </row>
    <row r="222" spans="1:6" ht="17" customHeight="1" x14ac:dyDescent="0.15">
      <c r="A222" s="64" t="s">
        <v>270</v>
      </c>
      <c r="B222" s="70" t="s">
        <v>783</v>
      </c>
      <c r="C222" s="64" t="s">
        <v>1398</v>
      </c>
      <c r="D222" s="76" t="s">
        <v>5430</v>
      </c>
      <c r="E222" s="62" t="s">
        <v>1718</v>
      </c>
    </row>
    <row r="223" spans="1:6" ht="19" customHeight="1" x14ac:dyDescent="0.15">
      <c r="A223" s="64" t="s">
        <v>270</v>
      </c>
      <c r="B223" s="70" t="s">
        <v>453</v>
      </c>
      <c r="C223" s="64" t="s">
        <v>1399</v>
      </c>
      <c r="D223" s="76" t="s">
        <v>5430</v>
      </c>
      <c r="E223" s="62" t="s">
        <v>1718</v>
      </c>
    </row>
    <row r="224" spans="1:6" ht="24" customHeight="1" x14ac:dyDescent="0.15">
      <c r="A224" s="64" t="s">
        <v>270</v>
      </c>
      <c r="B224" s="70" t="s">
        <v>784</v>
      </c>
      <c r="C224" s="64" t="s">
        <v>1400</v>
      </c>
      <c r="D224" s="76" t="s">
        <v>5430</v>
      </c>
      <c r="E224" s="62" t="s">
        <v>1718</v>
      </c>
    </row>
    <row r="225" spans="1:6" ht="24" customHeight="1" x14ac:dyDescent="0.15">
      <c r="A225" s="64" t="s">
        <v>270</v>
      </c>
      <c r="B225" s="70" t="s">
        <v>1401</v>
      </c>
      <c r="C225" s="64" t="s">
        <v>1402</v>
      </c>
      <c r="D225" s="76" t="s">
        <v>5430</v>
      </c>
      <c r="E225" s="62" t="s">
        <v>1718</v>
      </c>
    </row>
    <row r="226" spans="1:6" ht="24" customHeight="1" x14ac:dyDescent="0.15">
      <c r="A226" s="64" t="s">
        <v>270</v>
      </c>
      <c r="B226" s="70" t="s">
        <v>1403</v>
      </c>
      <c r="C226" s="64" t="s">
        <v>1404</v>
      </c>
      <c r="D226" s="76" t="s">
        <v>5430</v>
      </c>
      <c r="E226" s="62" t="s">
        <v>1718</v>
      </c>
    </row>
    <row r="227" spans="1:6" ht="24" customHeight="1" x14ac:dyDescent="0.15">
      <c r="A227" s="64" t="s">
        <v>270</v>
      </c>
      <c r="B227" s="70" t="s">
        <v>1405</v>
      </c>
      <c r="C227" s="64" t="s">
        <v>1406</v>
      </c>
      <c r="D227" s="76" t="s">
        <v>5430</v>
      </c>
      <c r="E227" s="62" t="s">
        <v>1719</v>
      </c>
      <c r="F227" s="62" t="s">
        <v>5380</v>
      </c>
    </row>
    <row r="228" spans="1:6" ht="24" customHeight="1" x14ac:dyDescent="0.15">
      <c r="A228" s="64" t="s">
        <v>270</v>
      </c>
      <c r="B228" s="70" t="s">
        <v>787</v>
      </c>
      <c r="C228" s="64" t="s">
        <v>1407</v>
      </c>
      <c r="D228" s="76" t="s">
        <v>5430</v>
      </c>
      <c r="E228" s="62" t="s">
        <v>1718</v>
      </c>
    </row>
    <row r="229" spans="1:6" ht="24" customHeight="1" x14ac:dyDescent="0.15">
      <c r="A229" s="64" t="s">
        <v>270</v>
      </c>
      <c r="B229" s="70" t="s">
        <v>788</v>
      </c>
      <c r="C229" s="64" t="s">
        <v>1408</v>
      </c>
      <c r="D229" s="76" t="s">
        <v>5430</v>
      </c>
      <c r="E229" s="62" t="s">
        <v>1718</v>
      </c>
    </row>
    <row r="230" spans="1:6" ht="15" customHeight="1" x14ac:dyDescent="0.15">
      <c r="A230" s="64" t="s">
        <v>270</v>
      </c>
      <c r="B230" s="70" t="s">
        <v>789</v>
      </c>
      <c r="C230" s="64" t="s">
        <v>1409</v>
      </c>
      <c r="D230" s="76" t="s">
        <v>5430</v>
      </c>
      <c r="E230" s="62" t="s">
        <v>5434</v>
      </c>
      <c r="F230" s="62" t="s">
        <v>5382</v>
      </c>
    </row>
    <row r="231" spans="1:6" ht="24" customHeight="1" x14ac:dyDescent="0.15">
      <c r="A231" s="64" t="s">
        <v>270</v>
      </c>
      <c r="B231" s="70" t="s">
        <v>790</v>
      </c>
      <c r="C231" s="64" t="s">
        <v>1410</v>
      </c>
      <c r="D231" s="76" t="s">
        <v>5431</v>
      </c>
      <c r="E231" s="62" t="s">
        <v>1718</v>
      </c>
    </row>
    <row r="232" spans="1:6" ht="15" customHeight="1" x14ac:dyDescent="0.15">
      <c r="A232" s="64" t="s">
        <v>270</v>
      </c>
      <c r="B232" s="70" t="s">
        <v>791</v>
      </c>
      <c r="C232" s="64" t="s">
        <v>1411</v>
      </c>
      <c r="D232" s="76" t="s">
        <v>5432</v>
      </c>
      <c r="E232" s="62" t="s">
        <v>1594</v>
      </c>
      <c r="F232" s="62" t="s">
        <v>1582</v>
      </c>
    </row>
    <row r="233" spans="1:6" ht="15" customHeight="1" x14ac:dyDescent="0.15">
      <c r="A233" s="64" t="s">
        <v>270</v>
      </c>
      <c r="B233" s="70" t="s">
        <v>650</v>
      </c>
      <c r="C233" s="64" t="s">
        <v>1412</v>
      </c>
      <c r="D233" s="76" t="s">
        <v>5432</v>
      </c>
      <c r="E233" s="62" t="s">
        <v>1594</v>
      </c>
      <c r="F233" s="62" t="s">
        <v>1582</v>
      </c>
    </row>
    <row r="234" spans="1:6" ht="24" customHeight="1" x14ac:dyDescent="0.15">
      <c r="A234" s="64" t="s">
        <v>270</v>
      </c>
      <c r="B234" s="70" t="s">
        <v>468</v>
      </c>
      <c r="C234" s="64" t="s">
        <v>1413</v>
      </c>
      <c r="D234" s="76" t="s">
        <v>5432</v>
      </c>
      <c r="E234" s="62" t="s">
        <v>1594</v>
      </c>
      <c r="F234" s="62" t="s">
        <v>1582</v>
      </c>
    </row>
    <row r="235" spans="1:6" ht="15" customHeight="1" x14ac:dyDescent="0.15">
      <c r="A235" s="64" t="s">
        <v>270</v>
      </c>
      <c r="B235" s="70" t="s">
        <v>792</v>
      </c>
      <c r="C235" s="64" t="s">
        <v>1414</v>
      </c>
      <c r="D235" s="76" t="s">
        <v>5430</v>
      </c>
      <c r="E235" s="62" t="s">
        <v>1594</v>
      </c>
      <c r="F235" s="62" t="s">
        <v>1582</v>
      </c>
    </row>
    <row r="236" spans="1:6" ht="15" customHeight="1" x14ac:dyDescent="0.15">
      <c r="A236" s="64" t="s">
        <v>270</v>
      </c>
      <c r="B236" s="70" t="s">
        <v>470</v>
      </c>
      <c r="C236" s="64" t="s">
        <v>1415</v>
      </c>
      <c r="D236" s="76" t="s">
        <v>5430</v>
      </c>
      <c r="E236" s="62" t="s">
        <v>1720</v>
      </c>
      <c r="F236" s="62" t="s">
        <v>5383</v>
      </c>
    </row>
    <row r="237" spans="1:6" ht="15" customHeight="1" x14ac:dyDescent="0.15">
      <c r="A237" s="64" t="s">
        <v>270</v>
      </c>
      <c r="B237" s="70" t="s">
        <v>1416</v>
      </c>
      <c r="C237" s="64" t="s">
        <v>1417</v>
      </c>
      <c r="D237" s="76" t="s">
        <v>5430</v>
      </c>
      <c r="E237" s="62" t="s">
        <v>1594</v>
      </c>
      <c r="F237" s="62" t="s">
        <v>1582</v>
      </c>
    </row>
    <row r="238" spans="1:6" ht="24" customHeight="1" x14ac:dyDescent="0.15">
      <c r="A238" s="64" t="s">
        <v>270</v>
      </c>
      <c r="B238" s="70" t="s">
        <v>793</v>
      </c>
      <c r="C238" s="64" t="s">
        <v>1418</v>
      </c>
      <c r="D238" s="76" t="s">
        <v>5430</v>
      </c>
      <c r="E238" s="62" t="s">
        <v>1594</v>
      </c>
      <c r="F238" s="62" t="s">
        <v>1582</v>
      </c>
    </row>
    <row r="239" spans="1:6" ht="15" customHeight="1" x14ac:dyDescent="0.15">
      <c r="A239" s="64" t="s">
        <v>270</v>
      </c>
      <c r="B239" s="70" t="s">
        <v>794</v>
      </c>
      <c r="C239" s="64" t="s">
        <v>1419</v>
      </c>
      <c r="D239" s="76" t="s">
        <v>44</v>
      </c>
      <c r="E239" s="62" t="s">
        <v>1721</v>
      </c>
      <c r="F239" s="62" t="s">
        <v>1582</v>
      </c>
    </row>
    <row r="240" spans="1:6" ht="15" customHeight="1" x14ac:dyDescent="0.15">
      <c r="A240" s="64" t="s">
        <v>270</v>
      </c>
      <c r="B240" s="70" t="s">
        <v>795</v>
      </c>
      <c r="C240" s="64" t="s">
        <v>1420</v>
      </c>
      <c r="D240" s="76" t="s">
        <v>5430</v>
      </c>
      <c r="E240" s="62" t="s">
        <v>1594</v>
      </c>
      <c r="F240" s="62" t="s">
        <v>1582</v>
      </c>
    </row>
    <row r="241" spans="1:6" ht="15" customHeight="1" x14ac:dyDescent="0.15">
      <c r="A241" s="64" t="s">
        <v>270</v>
      </c>
      <c r="B241" s="70" t="s">
        <v>653</v>
      </c>
      <c r="C241" s="64" t="s">
        <v>1421</v>
      </c>
      <c r="D241" s="76" t="s">
        <v>5432</v>
      </c>
      <c r="E241" s="62" t="s">
        <v>1594</v>
      </c>
      <c r="F241" s="62" t="s">
        <v>1582</v>
      </c>
    </row>
    <row r="242" spans="1:6" ht="24" customHeight="1" x14ac:dyDescent="0.15">
      <c r="A242" s="64" t="s">
        <v>270</v>
      </c>
      <c r="B242" s="70" t="s">
        <v>1422</v>
      </c>
      <c r="C242" s="64" t="s">
        <v>1423</v>
      </c>
      <c r="D242" s="76" t="s">
        <v>5432</v>
      </c>
      <c r="E242" s="62" t="s">
        <v>1722</v>
      </c>
    </row>
    <row r="243" spans="1:6" ht="24" customHeight="1" x14ac:dyDescent="0.15">
      <c r="A243" s="64" t="s">
        <v>270</v>
      </c>
      <c r="B243" s="70" t="s">
        <v>654</v>
      </c>
      <c r="C243" s="64" t="s">
        <v>1424</v>
      </c>
      <c r="D243" s="76" t="s">
        <v>5430</v>
      </c>
      <c r="E243" s="62" t="s">
        <v>1720</v>
      </c>
      <c r="F243" s="62" t="s">
        <v>5381</v>
      </c>
    </row>
    <row r="244" spans="1:6" ht="22.5" customHeight="1" x14ac:dyDescent="0.15">
      <c r="A244" s="64" t="s">
        <v>270</v>
      </c>
      <c r="B244" s="70" t="s">
        <v>1425</v>
      </c>
      <c r="C244" s="64" t="s">
        <v>1426</v>
      </c>
      <c r="D244" s="76" t="s">
        <v>5430</v>
      </c>
      <c r="E244" s="62" t="s">
        <v>1594</v>
      </c>
      <c r="F244" s="62" t="s">
        <v>1582</v>
      </c>
    </row>
    <row r="245" spans="1:6" ht="22" customHeight="1" x14ac:dyDescent="0.15">
      <c r="A245" s="64" t="s">
        <v>270</v>
      </c>
      <c r="B245" s="67" t="s">
        <v>504</v>
      </c>
      <c r="C245" s="64" t="s">
        <v>1427</v>
      </c>
      <c r="D245" s="76" t="s">
        <v>5432</v>
      </c>
      <c r="E245" s="62" t="s">
        <v>1594</v>
      </c>
      <c r="F245" s="62" t="s">
        <v>1582</v>
      </c>
    </row>
    <row r="246" spans="1:6" ht="24" customHeight="1" x14ac:dyDescent="0.15">
      <c r="A246" s="64" t="s">
        <v>270</v>
      </c>
      <c r="B246" s="67" t="s">
        <v>1428</v>
      </c>
      <c r="C246" s="64" t="s">
        <v>1429</v>
      </c>
      <c r="D246" s="76" t="s">
        <v>5430</v>
      </c>
      <c r="E246" s="62" t="s">
        <v>1594</v>
      </c>
      <c r="F246" s="62" t="s">
        <v>1582</v>
      </c>
    </row>
    <row r="247" spans="1:6" ht="15" customHeight="1" x14ac:dyDescent="0.15">
      <c r="A247" s="64" t="s">
        <v>270</v>
      </c>
      <c r="B247" s="67" t="s">
        <v>796</v>
      </c>
      <c r="C247" s="64" t="s">
        <v>1430</v>
      </c>
      <c r="D247" s="76" t="s">
        <v>5432</v>
      </c>
      <c r="E247" s="62" t="s">
        <v>1125</v>
      </c>
      <c r="F247" s="62" t="s">
        <v>5324</v>
      </c>
    </row>
    <row r="248" spans="1:6" ht="24" customHeight="1" x14ac:dyDescent="0.15">
      <c r="A248" s="64" t="s">
        <v>270</v>
      </c>
      <c r="B248" s="67" t="s">
        <v>797</v>
      </c>
      <c r="C248" s="64" t="s">
        <v>1431</v>
      </c>
      <c r="D248" s="76" t="s">
        <v>5432</v>
      </c>
      <c r="E248" s="62" t="s">
        <v>1594</v>
      </c>
      <c r="F248" s="62" t="s">
        <v>1582</v>
      </c>
    </row>
    <row r="249" spans="1:6" ht="22" customHeight="1" x14ac:dyDescent="0.15">
      <c r="A249" s="64" t="s">
        <v>1432</v>
      </c>
      <c r="B249" s="67" t="s">
        <v>1433</v>
      </c>
      <c r="C249" s="64" t="s">
        <v>1434</v>
      </c>
      <c r="D249" s="76" t="s">
        <v>5432</v>
      </c>
      <c r="E249" s="62" t="s">
        <v>1646</v>
      </c>
      <c r="F249" s="59" t="s">
        <v>5276</v>
      </c>
    </row>
    <row r="250" spans="1:6" ht="23" customHeight="1" x14ac:dyDescent="0.15">
      <c r="A250" s="64" t="s">
        <v>277</v>
      </c>
      <c r="B250" s="70" t="s">
        <v>655</v>
      </c>
      <c r="C250" s="64" t="s">
        <v>1435</v>
      </c>
      <c r="D250" s="76" t="s">
        <v>5430</v>
      </c>
      <c r="E250" s="62" t="s">
        <v>1683</v>
      </c>
      <c r="F250" s="62" t="s">
        <v>5384</v>
      </c>
    </row>
    <row r="251" spans="1:6" ht="24" customHeight="1" x14ac:dyDescent="0.15">
      <c r="A251" s="64" t="s">
        <v>277</v>
      </c>
      <c r="B251" s="70" t="s">
        <v>412</v>
      </c>
      <c r="C251" s="64" t="s">
        <v>1436</v>
      </c>
      <c r="D251" s="76" t="s">
        <v>5430</v>
      </c>
      <c r="E251" s="62" t="s">
        <v>1660</v>
      </c>
      <c r="F251" s="56" t="s">
        <v>5289</v>
      </c>
    </row>
    <row r="252" spans="1:6" ht="24" customHeight="1" x14ac:dyDescent="0.15">
      <c r="A252" s="64" t="s">
        <v>277</v>
      </c>
      <c r="B252" s="67" t="s">
        <v>1437</v>
      </c>
      <c r="C252" s="64" t="s">
        <v>1438</v>
      </c>
      <c r="D252" s="76" t="s">
        <v>5435</v>
      </c>
      <c r="E252" s="62" t="s">
        <v>1640</v>
      </c>
      <c r="F252" s="56" t="s">
        <v>5264</v>
      </c>
    </row>
    <row r="253" spans="1:6" ht="24" customHeight="1" x14ac:dyDescent="0.15">
      <c r="A253" s="64" t="s">
        <v>277</v>
      </c>
      <c r="B253" s="67" t="s">
        <v>799</v>
      </c>
      <c r="C253" s="64" t="s">
        <v>1439</v>
      </c>
      <c r="D253" s="76" t="s">
        <v>5435</v>
      </c>
      <c r="E253" s="62" t="s">
        <v>1660</v>
      </c>
      <c r="F253" s="56" t="s">
        <v>5289</v>
      </c>
    </row>
    <row r="254" spans="1:6" ht="24" customHeight="1" x14ac:dyDescent="0.15">
      <c r="A254" s="64" t="s">
        <v>277</v>
      </c>
      <c r="B254" s="67" t="s">
        <v>800</v>
      </c>
      <c r="C254" s="64" t="s">
        <v>1440</v>
      </c>
      <c r="D254" s="76" t="s">
        <v>5435</v>
      </c>
      <c r="E254" s="62" t="s">
        <v>1635</v>
      </c>
      <c r="F254" s="56" t="s">
        <v>5220</v>
      </c>
    </row>
    <row r="255" spans="1:6" ht="22" customHeight="1" x14ac:dyDescent="0.15">
      <c r="A255" s="64" t="s">
        <v>277</v>
      </c>
      <c r="B255" s="67" t="s">
        <v>801</v>
      </c>
      <c r="C255" s="64" t="s">
        <v>1441</v>
      </c>
      <c r="D255" s="76" t="s">
        <v>5435</v>
      </c>
      <c r="E255" s="62" t="s">
        <v>1644</v>
      </c>
      <c r="F255" s="56" t="s">
        <v>5261</v>
      </c>
    </row>
    <row r="256" spans="1:6" ht="24" customHeight="1" x14ac:dyDescent="0.15">
      <c r="A256" s="64" t="s">
        <v>277</v>
      </c>
      <c r="B256" s="67" t="s">
        <v>525</v>
      </c>
      <c r="C256" s="64" t="s">
        <v>1442</v>
      </c>
      <c r="D256" s="76" t="s">
        <v>5435</v>
      </c>
      <c r="E256" s="62" t="s">
        <v>1660</v>
      </c>
      <c r="F256" s="56" t="s">
        <v>5289</v>
      </c>
    </row>
    <row r="257" spans="1:6" ht="24" customHeight="1" x14ac:dyDescent="0.15">
      <c r="A257" s="64" t="s">
        <v>277</v>
      </c>
      <c r="B257" s="67" t="s">
        <v>533</v>
      </c>
      <c r="C257" s="64" t="s">
        <v>1443</v>
      </c>
      <c r="D257" s="76" t="s">
        <v>5430</v>
      </c>
      <c r="E257" s="62" t="s">
        <v>1640</v>
      </c>
      <c r="F257" s="56" t="s">
        <v>5264</v>
      </c>
    </row>
    <row r="258" spans="1:6" ht="15" customHeight="1" x14ac:dyDescent="0.15">
      <c r="A258" s="64" t="s">
        <v>299</v>
      </c>
      <c r="B258" s="67" t="s">
        <v>5418</v>
      </c>
      <c r="C258" s="64" t="s">
        <v>1444</v>
      </c>
      <c r="D258" s="76" t="s">
        <v>5435</v>
      </c>
      <c r="E258" s="62" t="s">
        <v>1643</v>
      </c>
      <c r="F258" s="56" t="s">
        <v>1583</v>
      </c>
    </row>
    <row r="259" spans="1:6" ht="24" customHeight="1" x14ac:dyDescent="0.15">
      <c r="A259" s="64" t="s">
        <v>299</v>
      </c>
      <c r="B259" s="67" t="s">
        <v>628</v>
      </c>
      <c r="C259" s="64" t="s">
        <v>1445</v>
      </c>
      <c r="D259" s="76" t="s">
        <v>5435</v>
      </c>
      <c r="E259" s="62" t="s">
        <v>1643</v>
      </c>
      <c r="F259" s="56" t="s">
        <v>1583</v>
      </c>
    </row>
    <row r="260" spans="1:6" ht="24" customHeight="1" x14ac:dyDescent="0.15">
      <c r="A260" s="64" t="s">
        <v>299</v>
      </c>
      <c r="B260" s="67" t="s">
        <v>630</v>
      </c>
      <c r="C260" s="64" t="s">
        <v>1446</v>
      </c>
      <c r="D260" s="76" t="s">
        <v>5435</v>
      </c>
      <c r="E260" s="62" t="s">
        <v>1643</v>
      </c>
      <c r="F260" s="56" t="s">
        <v>1583</v>
      </c>
    </row>
    <row r="261" spans="1:6" ht="15" customHeight="1" x14ac:dyDescent="0.15">
      <c r="A261" s="64" t="s">
        <v>299</v>
      </c>
      <c r="B261" s="67" t="s">
        <v>631</v>
      </c>
      <c r="C261" s="64" t="s">
        <v>1447</v>
      </c>
      <c r="D261" s="76" t="s">
        <v>5435</v>
      </c>
      <c r="E261" s="62" t="s">
        <v>1595</v>
      </c>
      <c r="F261" s="62" t="s">
        <v>1596</v>
      </c>
    </row>
    <row r="262" spans="1:6" ht="24" customHeight="1" x14ac:dyDescent="0.15">
      <c r="A262" s="64" t="s">
        <v>299</v>
      </c>
      <c r="B262" s="67" t="s">
        <v>1448</v>
      </c>
      <c r="C262" s="64" t="s">
        <v>1449</v>
      </c>
      <c r="D262" s="76" t="s">
        <v>5435</v>
      </c>
      <c r="E262" s="62" t="s">
        <v>1658</v>
      </c>
    </row>
    <row r="263" spans="1:6" ht="24" customHeight="1" x14ac:dyDescent="0.15">
      <c r="A263" s="64" t="s">
        <v>299</v>
      </c>
      <c r="B263" s="67" t="s">
        <v>1450</v>
      </c>
      <c r="C263" s="64" t="s">
        <v>1451</v>
      </c>
      <c r="D263" s="76" t="s">
        <v>5435</v>
      </c>
      <c r="E263" s="62" t="s">
        <v>1658</v>
      </c>
    </row>
    <row r="264" spans="1:6" ht="24" customHeight="1" x14ac:dyDescent="0.15">
      <c r="A264" s="64" t="s">
        <v>299</v>
      </c>
      <c r="B264" s="67" t="s">
        <v>1452</v>
      </c>
      <c r="C264" s="64" t="s">
        <v>1453</v>
      </c>
      <c r="D264" s="76" t="s">
        <v>5430</v>
      </c>
      <c r="E264" s="62" t="s">
        <v>5385</v>
      </c>
      <c r="F264" s="56" t="s">
        <v>5386</v>
      </c>
    </row>
    <row r="265" spans="1:6" ht="24" customHeight="1" x14ac:dyDescent="0.15">
      <c r="A265" s="64" t="s">
        <v>299</v>
      </c>
      <c r="B265" s="67" t="s">
        <v>802</v>
      </c>
      <c r="C265" s="64" t="s">
        <v>1454</v>
      </c>
      <c r="D265" s="76" t="s">
        <v>5435</v>
      </c>
      <c r="E265" s="62" t="s">
        <v>1658</v>
      </c>
    </row>
    <row r="266" spans="1:6" ht="28" customHeight="1" x14ac:dyDescent="0.15">
      <c r="A266" s="64" t="s">
        <v>299</v>
      </c>
      <c r="B266" s="67" t="s">
        <v>803</v>
      </c>
      <c r="C266" s="64" t="s">
        <v>1455</v>
      </c>
      <c r="D266" s="76" t="s">
        <v>5435</v>
      </c>
      <c r="E266" s="62" t="s">
        <v>1659</v>
      </c>
      <c r="F266" s="56" t="s">
        <v>5325</v>
      </c>
    </row>
    <row r="267" spans="1:6" ht="24" customHeight="1" x14ac:dyDescent="0.15">
      <c r="A267" s="64" t="s">
        <v>299</v>
      </c>
      <c r="B267" s="67" t="s">
        <v>1456</v>
      </c>
      <c r="C267" s="64" t="s">
        <v>1457</v>
      </c>
      <c r="D267" s="76" t="s">
        <v>5435</v>
      </c>
      <c r="E267" s="62" t="s">
        <v>1658</v>
      </c>
    </row>
    <row r="268" spans="1:6" ht="15" customHeight="1" x14ac:dyDescent="0.15">
      <c r="A268" s="64" t="s">
        <v>299</v>
      </c>
      <c r="B268" s="67" t="s">
        <v>1458</v>
      </c>
      <c r="C268" s="64" t="s">
        <v>1459</v>
      </c>
      <c r="D268" s="76" t="s">
        <v>5430</v>
      </c>
      <c r="E268" s="62" t="s">
        <v>5326</v>
      </c>
      <c r="F268" s="56" t="s">
        <v>5327</v>
      </c>
    </row>
    <row r="269" spans="1:6" ht="24" customHeight="1" x14ac:dyDescent="0.15">
      <c r="A269" s="64" t="s">
        <v>299</v>
      </c>
      <c r="B269" s="67" t="s">
        <v>804</v>
      </c>
      <c r="C269" s="64" t="s">
        <v>1460</v>
      </c>
      <c r="D269" s="76" t="s">
        <v>5435</v>
      </c>
      <c r="E269" s="62" t="s">
        <v>1658</v>
      </c>
    </row>
    <row r="270" spans="1:6" ht="24" customHeight="1" x14ac:dyDescent="0.15">
      <c r="A270" s="64" t="s">
        <v>299</v>
      </c>
      <c r="B270" s="67" t="s">
        <v>1461</v>
      </c>
      <c r="C270" s="64" t="s">
        <v>1462</v>
      </c>
      <c r="D270" s="76" t="s">
        <v>5435</v>
      </c>
      <c r="E270" s="62" t="s">
        <v>1658</v>
      </c>
    </row>
    <row r="271" spans="1:6" ht="24" customHeight="1" x14ac:dyDescent="0.15">
      <c r="A271" s="64" t="s">
        <v>299</v>
      </c>
      <c r="B271" s="67" t="s">
        <v>5328</v>
      </c>
      <c r="C271" s="64" t="s">
        <v>1463</v>
      </c>
      <c r="D271" s="76" t="s">
        <v>5435</v>
      </c>
      <c r="E271" s="62" t="s">
        <v>1658</v>
      </c>
    </row>
    <row r="272" spans="1:6" ht="24" customHeight="1" x14ac:dyDescent="0.15">
      <c r="A272" s="64" t="s">
        <v>299</v>
      </c>
      <c r="B272" s="67" t="s">
        <v>1464</v>
      </c>
      <c r="C272" s="64" t="s">
        <v>1465</v>
      </c>
      <c r="D272" s="76" t="s">
        <v>5435</v>
      </c>
      <c r="E272" s="62" t="s">
        <v>1658</v>
      </c>
    </row>
    <row r="273" spans="1:6" ht="24" customHeight="1" x14ac:dyDescent="0.15">
      <c r="A273" s="64" t="s">
        <v>299</v>
      </c>
      <c r="B273" s="67" t="s">
        <v>5189</v>
      </c>
      <c r="C273" s="64" t="s">
        <v>1466</v>
      </c>
      <c r="D273" s="76" t="s">
        <v>5435</v>
      </c>
      <c r="E273" s="62" t="s">
        <v>1658</v>
      </c>
    </row>
    <row r="274" spans="1:6" ht="24" customHeight="1" x14ac:dyDescent="0.15">
      <c r="A274" s="64" t="s">
        <v>299</v>
      </c>
      <c r="B274" s="67" t="s">
        <v>1467</v>
      </c>
      <c r="C274" s="64" t="s">
        <v>1468</v>
      </c>
      <c r="D274" s="76" t="s">
        <v>5435</v>
      </c>
      <c r="E274" s="62" t="s">
        <v>1643</v>
      </c>
      <c r="F274" s="56" t="s">
        <v>1583</v>
      </c>
    </row>
    <row r="275" spans="1:6" ht="24" customHeight="1" x14ac:dyDescent="0.15">
      <c r="A275" s="64" t="s">
        <v>299</v>
      </c>
      <c r="B275" s="67" t="s">
        <v>1469</v>
      </c>
      <c r="C275" s="64" t="s">
        <v>1470</v>
      </c>
      <c r="D275" s="76" t="s">
        <v>5435</v>
      </c>
      <c r="E275" s="62" t="s">
        <v>1658</v>
      </c>
    </row>
    <row r="276" spans="1:6" ht="15" customHeight="1" x14ac:dyDescent="0.15">
      <c r="A276" s="64" t="s">
        <v>299</v>
      </c>
      <c r="B276" s="67" t="s">
        <v>1471</v>
      </c>
      <c r="C276" s="64" t="s">
        <v>1472</v>
      </c>
      <c r="D276" s="76" t="s">
        <v>5435</v>
      </c>
      <c r="E276" s="62" t="s">
        <v>1658</v>
      </c>
    </row>
    <row r="277" spans="1:6" ht="24" customHeight="1" x14ac:dyDescent="0.15">
      <c r="A277" s="64" t="s">
        <v>299</v>
      </c>
      <c r="B277" s="67" t="s">
        <v>5283</v>
      </c>
      <c r="C277" s="64" t="s">
        <v>1473</v>
      </c>
      <c r="D277" s="76" t="s">
        <v>5435</v>
      </c>
      <c r="E277" s="62" t="s">
        <v>1658</v>
      </c>
    </row>
    <row r="278" spans="1:6" ht="24" customHeight="1" x14ac:dyDescent="0.15">
      <c r="A278" s="64" t="s">
        <v>299</v>
      </c>
      <c r="B278" s="67" t="s">
        <v>5282</v>
      </c>
      <c r="C278" s="64" t="s">
        <v>1474</v>
      </c>
      <c r="D278" s="76" t="s">
        <v>5435</v>
      </c>
      <c r="E278" s="62" t="s">
        <v>1658</v>
      </c>
    </row>
    <row r="279" spans="1:6" ht="24" customHeight="1" x14ac:dyDescent="0.15">
      <c r="A279" s="64" t="s">
        <v>299</v>
      </c>
      <c r="B279" s="70" t="s">
        <v>805</v>
      </c>
      <c r="C279" s="64" t="s">
        <v>1475</v>
      </c>
      <c r="D279" s="76" t="s">
        <v>5435</v>
      </c>
      <c r="E279" s="62" t="s">
        <v>1595</v>
      </c>
      <c r="F279" s="62" t="s">
        <v>1596</v>
      </c>
    </row>
    <row r="280" spans="1:6" ht="24" customHeight="1" x14ac:dyDescent="0.15">
      <c r="A280" s="64" t="s">
        <v>299</v>
      </c>
      <c r="B280" s="70" t="s">
        <v>806</v>
      </c>
      <c r="C280" s="64" t="s">
        <v>1476</v>
      </c>
      <c r="D280" s="76" t="s">
        <v>5288</v>
      </c>
      <c r="E280" s="62" t="s">
        <v>1694</v>
      </c>
      <c r="F280" s="56" t="s">
        <v>1583</v>
      </c>
    </row>
    <row r="281" spans="1:6" ht="18" customHeight="1" x14ac:dyDescent="0.15">
      <c r="A281" s="64" t="s">
        <v>299</v>
      </c>
      <c r="B281" s="70" t="s">
        <v>424</v>
      </c>
      <c r="C281" s="64" t="s">
        <v>1477</v>
      </c>
      <c r="D281" s="76" t="s">
        <v>5435</v>
      </c>
      <c r="E281" s="62" t="s">
        <v>1661</v>
      </c>
      <c r="F281" s="62" t="s">
        <v>1582</v>
      </c>
    </row>
    <row r="282" spans="1:6" ht="15" customHeight="1" x14ac:dyDescent="0.15">
      <c r="A282" s="64" t="s">
        <v>299</v>
      </c>
      <c r="B282" s="70" t="s">
        <v>1478</v>
      </c>
      <c r="C282" s="64" t="s">
        <v>1479</v>
      </c>
      <c r="D282" s="76" t="s">
        <v>5435</v>
      </c>
      <c r="E282" s="62" t="s">
        <v>1594</v>
      </c>
      <c r="F282" s="62" t="s">
        <v>1582</v>
      </c>
    </row>
    <row r="283" spans="1:6" ht="24" customHeight="1" x14ac:dyDescent="0.15">
      <c r="A283" s="64" t="s">
        <v>299</v>
      </c>
      <c r="B283" s="70" t="s">
        <v>1480</v>
      </c>
      <c r="C283" s="64" t="s">
        <v>1481</v>
      </c>
      <c r="D283" s="76" t="s">
        <v>5435</v>
      </c>
      <c r="E283" s="62" t="s">
        <v>1676</v>
      </c>
      <c r="F283" s="56" t="s">
        <v>5239</v>
      </c>
    </row>
    <row r="284" spans="1:6" ht="24" customHeight="1" x14ac:dyDescent="0.15">
      <c r="A284" s="64" t="s">
        <v>299</v>
      </c>
      <c r="B284" s="70" t="s">
        <v>1482</v>
      </c>
      <c r="C284" s="64" t="s">
        <v>1483</v>
      </c>
      <c r="D284" s="76" t="s">
        <v>5435</v>
      </c>
      <c r="E284" s="62" t="s">
        <v>1676</v>
      </c>
      <c r="F284" s="56" t="s">
        <v>5239</v>
      </c>
    </row>
    <row r="285" spans="1:6" ht="24" customHeight="1" x14ac:dyDescent="0.15">
      <c r="A285" s="64" t="s">
        <v>299</v>
      </c>
      <c r="B285" s="70" t="s">
        <v>1484</v>
      </c>
      <c r="C285" s="64" t="s">
        <v>1485</v>
      </c>
      <c r="D285" s="76" t="s">
        <v>5435</v>
      </c>
      <c r="E285" s="62" t="s">
        <v>1676</v>
      </c>
      <c r="F285" s="56" t="s">
        <v>5239</v>
      </c>
    </row>
    <row r="286" spans="1:6" ht="24" customHeight="1" x14ac:dyDescent="0.15">
      <c r="A286" s="64" t="s">
        <v>299</v>
      </c>
      <c r="B286" s="70" t="s">
        <v>1486</v>
      </c>
      <c r="C286" s="64" t="s">
        <v>1487</v>
      </c>
      <c r="D286" s="76" t="s">
        <v>5435</v>
      </c>
      <c r="E286" s="62" t="s">
        <v>1676</v>
      </c>
      <c r="F286" s="56" t="s">
        <v>5239</v>
      </c>
    </row>
    <row r="287" spans="1:6" ht="24" customHeight="1" x14ac:dyDescent="0.15">
      <c r="A287" s="64" t="s">
        <v>299</v>
      </c>
      <c r="B287" s="70" t="s">
        <v>1488</v>
      </c>
      <c r="C287" s="64" t="s">
        <v>1489</v>
      </c>
      <c r="D287" s="76" t="s">
        <v>5435</v>
      </c>
      <c r="E287" s="62" t="s">
        <v>1676</v>
      </c>
      <c r="F287" s="56" t="s">
        <v>5239</v>
      </c>
    </row>
    <row r="288" spans="1:6" ht="24" customHeight="1" x14ac:dyDescent="0.15">
      <c r="A288" s="64" t="s">
        <v>299</v>
      </c>
      <c r="B288" s="70" t="s">
        <v>398</v>
      </c>
      <c r="C288" s="64" t="s">
        <v>1490</v>
      </c>
      <c r="D288" s="76" t="s">
        <v>5435</v>
      </c>
      <c r="E288" s="62" t="s">
        <v>1684</v>
      </c>
      <c r="F288" s="56" t="s">
        <v>5329</v>
      </c>
    </row>
    <row r="289" spans="1:6" ht="24" customHeight="1" x14ac:dyDescent="0.15">
      <c r="A289" s="64" t="s">
        <v>299</v>
      </c>
      <c r="B289" s="70" t="s">
        <v>437</v>
      </c>
      <c r="C289" s="64" t="s">
        <v>1491</v>
      </c>
      <c r="D289" s="76" t="s">
        <v>5430</v>
      </c>
      <c r="E289" s="62" t="s">
        <v>1685</v>
      </c>
      <c r="F289" s="62" t="s">
        <v>5330</v>
      </c>
    </row>
    <row r="290" spans="1:6" ht="24" customHeight="1" x14ac:dyDescent="0.15">
      <c r="A290" s="64" t="s">
        <v>299</v>
      </c>
      <c r="B290" s="70" t="s">
        <v>807</v>
      </c>
      <c r="C290" s="64" t="s">
        <v>1492</v>
      </c>
      <c r="D290" s="76" t="s">
        <v>5435</v>
      </c>
      <c r="E290" s="62" t="s">
        <v>1687</v>
      </c>
      <c r="F290" s="56" t="s">
        <v>5331</v>
      </c>
    </row>
    <row r="291" spans="1:6" ht="24" customHeight="1" x14ac:dyDescent="0.15">
      <c r="A291" s="64" t="s">
        <v>299</v>
      </c>
      <c r="B291" s="70" t="s">
        <v>808</v>
      </c>
      <c r="C291" s="64" t="s">
        <v>1493</v>
      </c>
      <c r="D291" s="76" t="s">
        <v>5435</v>
      </c>
      <c r="E291" s="62" t="s">
        <v>1688</v>
      </c>
      <c r="F291" s="62" t="s">
        <v>5332</v>
      </c>
    </row>
    <row r="292" spans="1:6" ht="24" customHeight="1" x14ac:dyDescent="0.15">
      <c r="A292" s="64" t="s">
        <v>299</v>
      </c>
      <c r="B292" s="70" t="s">
        <v>809</v>
      </c>
      <c r="C292" s="64" t="s">
        <v>1494</v>
      </c>
      <c r="D292" s="76" t="s">
        <v>5435</v>
      </c>
      <c r="E292" s="62" t="s">
        <v>1689</v>
      </c>
    </row>
    <row r="293" spans="1:6" ht="36" customHeight="1" x14ac:dyDescent="0.15">
      <c r="A293" s="64" t="s">
        <v>299</v>
      </c>
      <c r="B293" s="70" t="s">
        <v>418</v>
      </c>
      <c r="C293" s="64" t="s">
        <v>1495</v>
      </c>
      <c r="D293" s="76" t="s">
        <v>5435</v>
      </c>
      <c r="E293" s="62" t="s">
        <v>1623</v>
      </c>
      <c r="F293" s="56" t="s">
        <v>1624</v>
      </c>
    </row>
    <row r="294" spans="1:6" ht="36" customHeight="1" x14ac:dyDescent="0.15">
      <c r="A294" s="64" t="s">
        <v>299</v>
      </c>
      <c r="B294" s="70" t="s">
        <v>367</v>
      </c>
      <c r="C294" s="64" t="s">
        <v>1496</v>
      </c>
      <c r="D294" s="76" t="s">
        <v>5435</v>
      </c>
      <c r="E294" s="62" t="s">
        <v>1395</v>
      </c>
      <c r="F294" s="56" t="s">
        <v>1612</v>
      </c>
    </row>
    <row r="295" spans="1:6" ht="37.5" customHeight="1" x14ac:dyDescent="0.15">
      <c r="A295" s="64" t="s">
        <v>299</v>
      </c>
      <c r="B295" s="70" t="s">
        <v>485</v>
      </c>
      <c r="C295" s="64" t="s">
        <v>1497</v>
      </c>
      <c r="D295" s="76" t="s">
        <v>5435</v>
      </c>
      <c r="E295" s="62" t="s">
        <v>1690</v>
      </c>
      <c r="F295" s="56" t="s">
        <v>5333</v>
      </c>
    </row>
    <row r="296" spans="1:6" ht="36" customHeight="1" x14ac:dyDescent="0.15">
      <c r="A296" s="64" t="s">
        <v>299</v>
      </c>
      <c r="B296" s="70" t="s">
        <v>423</v>
      </c>
      <c r="C296" s="64" t="s">
        <v>1498</v>
      </c>
      <c r="D296" s="76" t="s">
        <v>5288</v>
      </c>
      <c r="E296" s="62" t="s">
        <v>1694</v>
      </c>
      <c r="F296" s="56" t="s">
        <v>1583</v>
      </c>
    </row>
    <row r="297" spans="1:6" ht="36" customHeight="1" x14ac:dyDescent="0.15">
      <c r="A297" s="64" t="s">
        <v>299</v>
      </c>
      <c r="B297" s="70" t="s">
        <v>536</v>
      </c>
      <c r="C297" s="64" t="s">
        <v>1499</v>
      </c>
      <c r="D297" s="76" t="s">
        <v>5435</v>
      </c>
      <c r="E297" s="62" t="s">
        <v>205</v>
      </c>
      <c r="F297" s="62" t="s">
        <v>5334</v>
      </c>
    </row>
    <row r="298" spans="1:6" ht="36" customHeight="1" x14ac:dyDescent="0.15">
      <c r="A298" s="64" t="s">
        <v>299</v>
      </c>
      <c r="B298" s="70" t="s">
        <v>1500</v>
      </c>
      <c r="C298" s="64" t="s">
        <v>1501</v>
      </c>
      <c r="D298" s="76" t="s">
        <v>5430</v>
      </c>
      <c r="E298" s="62" t="s">
        <v>5387</v>
      </c>
      <c r="F298" s="56" t="s">
        <v>5388</v>
      </c>
    </row>
    <row r="299" spans="1:6" ht="24" customHeight="1" x14ac:dyDescent="0.15">
      <c r="A299" s="64" t="s">
        <v>299</v>
      </c>
      <c r="B299" s="70" t="s">
        <v>377</v>
      </c>
      <c r="C299" s="64" t="s">
        <v>1502</v>
      </c>
      <c r="D299" s="76" t="s">
        <v>5435</v>
      </c>
      <c r="E299" s="62" t="s">
        <v>1696</v>
      </c>
      <c r="F299" s="56" t="s">
        <v>5389</v>
      </c>
    </row>
    <row r="300" spans="1:6" ht="24" customHeight="1" x14ac:dyDescent="0.15">
      <c r="A300" s="64" t="s">
        <v>299</v>
      </c>
      <c r="B300" s="70" t="s">
        <v>458</v>
      </c>
      <c r="C300" s="64" t="s">
        <v>1503</v>
      </c>
      <c r="D300" s="76" t="s">
        <v>5435</v>
      </c>
      <c r="E300" s="62" t="s">
        <v>332</v>
      </c>
      <c r="F300" s="56" t="s">
        <v>5247</v>
      </c>
    </row>
    <row r="301" spans="1:6" ht="24" customHeight="1" x14ac:dyDescent="0.15">
      <c r="A301" s="64" t="s">
        <v>299</v>
      </c>
      <c r="B301" s="70" t="s">
        <v>810</v>
      </c>
      <c r="C301" s="64" t="s">
        <v>1504</v>
      </c>
      <c r="D301" s="76" t="s">
        <v>5430</v>
      </c>
      <c r="E301" s="62" t="s">
        <v>1594</v>
      </c>
      <c r="F301" s="62" t="s">
        <v>1582</v>
      </c>
    </row>
    <row r="302" spans="1:6" ht="24" customHeight="1" x14ac:dyDescent="0.15">
      <c r="A302" s="64" t="s">
        <v>299</v>
      </c>
      <c r="B302" s="70" t="s">
        <v>420</v>
      </c>
      <c r="C302" s="64" t="s">
        <v>1505</v>
      </c>
      <c r="D302" s="76" t="s">
        <v>5430</v>
      </c>
      <c r="E302" s="62" t="s">
        <v>1595</v>
      </c>
      <c r="F302" s="62" t="s">
        <v>1596</v>
      </c>
    </row>
    <row r="303" spans="1:6" ht="24" customHeight="1" x14ac:dyDescent="0.15">
      <c r="A303" s="64" t="s">
        <v>299</v>
      </c>
      <c r="B303" s="70" t="s">
        <v>422</v>
      </c>
      <c r="C303" s="64" t="s">
        <v>1506</v>
      </c>
      <c r="D303" s="76" t="s">
        <v>5430</v>
      </c>
      <c r="E303" s="62" t="s">
        <v>1595</v>
      </c>
      <c r="F303" s="62" t="s">
        <v>1596</v>
      </c>
    </row>
    <row r="304" spans="1:6" ht="24" customHeight="1" x14ac:dyDescent="0.15">
      <c r="A304" s="64" t="s">
        <v>299</v>
      </c>
      <c r="B304" s="70" t="s">
        <v>811</v>
      </c>
      <c r="C304" s="64" t="s">
        <v>1507</v>
      </c>
      <c r="D304" s="76" t="s">
        <v>5430</v>
      </c>
      <c r="E304" s="62" t="s">
        <v>1594</v>
      </c>
      <c r="F304" s="62" t="s">
        <v>1582</v>
      </c>
    </row>
    <row r="305" spans="1:6" ht="24" customHeight="1" x14ac:dyDescent="0.15">
      <c r="A305" s="64" t="s">
        <v>299</v>
      </c>
      <c r="B305" s="70" t="s">
        <v>812</v>
      </c>
      <c r="C305" s="64" t="s">
        <v>1508</v>
      </c>
      <c r="D305" s="76" t="s">
        <v>5430</v>
      </c>
      <c r="E305" s="62" t="s">
        <v>1595</v>
      </c>
      <c r="F305" s="62" t="s">
        <v>1596</v>
      </c>
    </row>
    <row r="306" spans="1:6" ht="24" customHeight="1" x14ac:dyDescent="0.15">
      <c r="A306" s="64" t="s">
        <v>299</v>
      </c>
      <c r="B306" s="70" t="s">
        <v>559</v>
      </c>
      <c r="C306" s="64" t="s">
        <v>1509</v>
      </c>
      <c r="D306" s="76" t="s">
        <v>5430</v>
      </c>
      <c r="E306" s="62" t="s">
        <v>1697</v>
      </c>
    </row>
    <row r="307" spans="1:6" ht="24" customHeight="1" x14ac:dyDescent="0.15">
      <c r="A307" s="64" t="s">
        <v>299</v>
      </c>
      <c r="B307" s="70" t="s">
        <v>638</v>
      </c>
      <c r="C307" s="64" t="s">
        <v>1510</v>
      </c>
      <c r="D307" s="76" t="s">
        <v>5430</v>
      </c>
      <c r="E307" s="62" t="s">
        <v>1595</v>
      </c>
      <c r="F307" s="62" t="s">
        <v>1596</v>
      </c>
    </row>
    <row r="308" spans="1:6" ht="24" customHeight="1" x14ac:dyDescent="0.15">
      <c r="A308" s="64" t="s">
        <v>299</v>
      </c>
      <c r="B308" s="70" t="s">
        <v>642</v>
      </c>
      <c r="C308" s="64" t="s">
        <v>1511</v>
      </c>
      <c r="D308" s="76" t="s">
        <v>5430</v>
      </c>
      <c r="E308" s="62" t="s">
        <v>1697</v>
      </c>
    </row>
    <row r="309" spans="1:6" ht="15" customHeight="1" x14ac:dyDescent="0.15">
      <c r="A309" s="64" t="s">
        <v>299</v>
      </c>
      <c r="B309" s="70" t="s">
        <v>643</v>
      </c>
      <c r="C309" s="64" t="s">
        <v>1512</v>
      </c>
      <c r="D309" s="76" t="s">
        <v>5435</v>
      </c>
      <c r="E309" s="62" t="s">
        <v>1595</v>
      </c>
      <c r="F309" s="62" t="s">
        <v>1596</v>
      </c>
    </row>
    <row r="310" spans="1:6" ht="24" customHeight="1" x14ac:dyDescent="0.15">
      <c r="A310" s="64" t="s">
        <v>299</v>
      </c>
      <c r="B310" s="70" t="s">
        <v>813</v>
      </c>
      <c r="C310" s="64" t="s">
        <v>1513</v>
      </c>
      <c r="D310" s="76" t="s">
        <v>5431</v>
      </c>
      <c r="E310" s="62" t="s">
        <v>5335</v>
      </c>
      <c r="F310" s="62" t="s">
        <v>5357</v>
      </c>
    </row>
    <row r="311" spans="1:6" ht="24" customHeight="1" x14ac:dyDescent="0.15">
      <c r="A311" s="64" t="s">
        <v>299</v>
      </c>
      <c r="B311" s="70" t="s">
        <v>441</v>
      </c>
      <c r="C311" s="64" t="s">
        <v>1514</v>
      </c>
      <c r="D311" s="76" t="s">
        <v>5435</v>
      </c>
      <c r="E311" s="62" t="s">
        <v>5336</v>
      </c>
      <c r="F311" s="56" t="s">
        <v>5390</v>
      </c>
    </row>
    <row r="312" spans="1:6" ht="24" customHeight="1" x14ac:dyDescent="0.15">
      <c r="A312" s="64" t="s">
        <v>299</v>
      </c>
      <c r="B312" s="67" t="s">
        <v>425</v>
      </c>
      <c r="C312" s="64" t="s">
        <v>1515</v>
      </c>
      <c r="D312" s="76" t="s">
        <v>5435</v>
      </c>
      <c r="E312" s="62" t="s">
        <v>1595</v>
      </c>
      <c r="F312" s="62" t="s">
        <v>1596</v>
      </c>
    </row>
    <row r="313" spans="1:6" ht="24" customHeight="1" x14ac:dyDescent="0.15">
      <c r="A313" s="64" t="s">
        <v>299</v>
      </c>
      <c r="B313" s="67" t="s">
        <v>426</v>
      </c>
      <c r="C313" s="64" t="s">
        <v>1516</v>
      </c>
      <c r="D313" s="76" t="s">
        <v>5435</v>
      </c>
      <c r="E313" s="62" t="s">
        <v>1595</v>
      </c>
      <c r="F313" s="62" t="s">
        <v>1596</v>
      </c>
    </row>
    <row r="314" spans="1:6" ht="15" customHeight="1" x14ac:dyDescent="0.15">
      <c r="A314" s="64" t="s">
        <v>299</v>
      </c>
      <c r="B314" s="67" t="s">
        <v>435</v>
      </c>
      <c r="C314" s="64" t="s">
        <v>1517</v>
      </c>
      <c r="D314" s="76" t="s">
        <v>5435</v>
      </c>
      <c r="E314" s="62" t="s">
        <v>1595</v>
      </c>
      <c r="F314" s="62" t="s">
        <v>1596</v>
      </c>
    </row>
    <row r="315" spans="1:6" ht="24" customHeight="1" x14ac:dyDescent="0.15">
      <c r="A315" s="64" t="s">
        <v>299</v>
      </c>
      <c r="B315" s="67" t="s">
        <v>436</v>
      </c>
      <c r="C315" s="64" t="s">
        <v>1518</v>
      </c>
      <c r="D315" s="76" t="s">
        <v>5430</v>
      </c>
      <c r="E315" s="62" t="s">
        <v>1125</v>
      </c>
      <c r="F315" s="56" t="s">
        <v>1579</v>
      </c>
    </row>
    <row r="316" spans="1:6" ht="15" customHeight="1" x14ac:dyDescent="0.15">
      <c r="A316" s="64" t="s">
        <v>299</v>
      </c>
      <c r="B316" s="67" t="s">
        <v>408</v>
      </c>
      <c r="C316" s="64" t="s">
        <v>1519</v>
      </c>
      <c r="D316" s="76" t="s">
        <v>5435</v>
      </c>
      <c r="E316" s="62" t="s">
        <v>1727</v>
      </c>
      <c r="F316" s="62" t="s">
        <v>5337</v>
      </c>
    </row>
    <row r="317" spans="1:6" ht="24" customHeight="1" x14ac:dyDescent="0.15">
      <c r="A317" s="64" t="s">
        <v>299</v>
      </c>
      <c r="B317" s="67" t="s">
        <v>394</v>
      </c>
      <c r="C317" s="64" t="s">
        <v>1520</v>
      </c>
      <c r="D317" s="76" t="s">
        <v>5435</v>
      </c>
      <c r="E317" s="62" t="s">
        <v>1595</v>
      </c>
      <c r="F317" s="62" t="s">
        <v>1596</v>
      </c>
    </row>
    <row r="318" spans="1:6" ht="15" customHeight="1" x14ac:dyDescent="0.15">
      <c r="A318" s="64" t="s">
        <v>299</v>
      </c>
      <c r="B318" s="67" t="s">
        <v>1521</v>
      </c>
      <c r="C318" s="64" t="s">
        <v>1522</v>
      </c>
      <c r="D318" s="76" t="s">
        <v>5435</v>
      </c>
      <c r="E318" s="62" t="s">
        <v>1737</v>
      </c>
      <c r="F318" s="62" t="s">
        <v>5391</v>
      </c>
    </row>
    <row r="319" spans="1:6" ht="15" customHeight="1" x14ac:dyDescent="0.15">
      <c r="A319" s="64" t="s">
        <v>299</v>
      </c>
      <c r="B319" s="67" t="s">
        <v>1523</v>
      </c>
      <c r="C319" s="64" t="s">
        <v>1524</v>
      </c>
      <c r="D319" s="76" t="s">
        <v>5435</v>
      </c>
      <c r="E319" s="62" t="s">
        <v>1738</v>
      </c>
      <c r="F319" s="56" t="s">
        <v>5286</v>
      </c>
    </row>
    <row r="320" spans="1:6" ht="15" customHeight="1" x14ac:dyDescent="0.15">
      <c r="A320" s="64" t="s">
        <v>299</v>
      </c>
      <c r="B320" s="67" t="s">
        <v>1525</v>
      </c>
      <c r="C320" s="64" t="s">
        <v>1526</v>
      </c>
      <c r="D320" s="76" t="s">
        <v>5435</v>
      </c>
      <c r="E320" s="62" t="s">
        <v>1609</v>
      </c>
      <c r="F320" s="56" t="s">
        <v>5286</v>
      </c>
    </row>
    <row r="321" spans="1:6" ht="24" customHeight="1" x14ac:dyDescent="0.15">
      <c r="A321" s="64" t="s">
        <v>299</v>
      </c>
      <c r="B321" s="67" t="s">
        <v>1527</v>
      </c>
      <c r="C321" s="64" t="s">
        <v>1528</v>
      </c>
      <c r="D321" s="76" t="s">
        <v>5435</v>
      </c>
      <c r="E321" s="62" t="s">
        <v>1739</v>
      </c>
      <c r="F321" s="56" t="s">
        <v>5286</v>
      </c>
    </row>
    <row r="322" spans="1:6" ht="15" customHeight="1" x14ac:dyDescent="0.15">
      <c r="A322" s="64" t="s">
        <v>299</v>
      </c>
      <c r="B322" s="67" t="s">
        <v>1529</v>
      </c>
      <c r="C322" s="64" t="s">
        <v>1530</v>
      </c>
      <c r="D322" s="76" t="s">
        <v>5435</v>
      </c>
      <c r="E322" s="62" t="s">
        <v>1740</v>
      </c>
      <c r="F322" s="56" t="s">
        <v>5286</v>
      </c>
    </row>
    <row r="323" spans="1:6" ht="24" customHeight="1" x14ac:dyDescent="0.15">
      <c r="A323" s="64" t="s">
        <v>350</v>
      </c>
      <c r="B323" s="67" t="s">
        <v>815</v>
      </c>
      <c r="C323" s="64" t="s">
        <v>1531</v>
      </c>
      <c r="D323" s="76" t="s">
        <v>5430</v>
      </c>
      <c r="E323" s="62" t="s">
        <v>1648</v>
      </c>
      <c r="F323" s="56" t="s">
        <v>5358</v>
      </c>
    </row>
    <row r="324" spans="1:6" ht="24" customHeight="1" x14ac:dyDescent="0.15">
      <c r="A324" s="64" t="s">
        <v>350</v>
      </c>
      <c r="B324" s="67" t="s">
        <v>816</v>
      </c>
      <c r="C324" s="64" t="s">
        <v>1532</v>
      </c>
      <c r="D324" s="76" t="s">
        <v>5430</v>
      </c>
      <c r="E324" s="62" t="s">
        <v>1649</v>
      </c>
    </row>
    <row r="325" spans="1:6" ht="15" customHeight="1" x14ac:dyDescent="0.15">
      <c r="A325" s="64" t="s">
        <v>350</v>
      </c>
      <c r="B325" s="67" t="s">
        <v>456</v>
      </c>
      <c r="C325" s="64" t="s">
        <v>1533</v>
      </c>
      <c r="D325" s="76" t="s">
        <v>5432</v>
      </c>
      <c r="E325" s="62" t="s">
        <v>1650</v>
      </c>
      <c r="F325" s="56" t="s">
        <v>1612</v>
      </c>
    </row>
    <row r="326" spans="1:6" ht="24" customHeight="1" x14ac:dyDescent="0.15">
      <c r="A326" s="64" t="s">
        <v>350</v>
      </c>
      <c r="B326" s="67" t="s">
        <v>817</v>
      </c>
      <c r="C326" s="64" t="s">
        <v>1534</v>
      </c>
      <c r="D326" s="76" t="s">
        <v>5432</v>
      </c>
      <c r="E326" s="62" t="s">
        <v>1651</v>
      </c>
      <c r="F326" s="56" t="s">
        <v>1612</v>
      </c>
    </row>
    <row r="327" spans="1:6" ht="24" customHeight="1" x14ac:dyDescent="0.15">
      <c r="A327" s="64" t="s">
        <v>350</v>
      </c>
      <c r="B327" s="67" t="s">
        <v>477</v>
      </c>
      <c r="C327" s="64" t="s">
        <v>1535</v>
      </c>
      <c r="D327" s="76" t="s">
        <v>5432</v>
      </c>
      <c r="E327" s="62" t="s">
        <v>1652</v>
      </c>
      <c r="F327" s="56" t="s">
        <v>5299</v>
      </c>
    </row>
    <row r="328" spans="1:6" ht="25" customHeight="1" x14ac:dyDescent="0.15">
      <c r="A328" s="64" t="s">
        <v>350</v>
      </c>
      <c r="B328" s="70" t="s">
        <v>818</v>
      </c>
      <c r="C328" s="64" t="s">
        <v>1536</v>
      </c>
      <c r="D328" s="76" t="s">
        <v>5432</v>
      </c>
      <c r="E328" s="62" t="s">
        <v>1662</v>
      </c>
      <c r="F328" s="56" t="s">
        <v>5359</v>
      </c>
    </row>
    <row r="329" spans="1:6" ht="24" customHeight="1" x14ac:dyDescent="0.15">
      <c r="A329" s="64" t="s">
        <v>350</v>
      </c>
      <c r="B329" s="70" t="s">
        <v>1537</v>
      </c>
      <c r="C329" s="64" t="s">
        <v>1538</v>
      </c>
      <c r="D329" s="76" t="s">
        <v>5432</v>
      </c>
      <c r="E329" s="62" t="s">
        <v>1653</v>
      </c>
      <c r="F329" s="62" t="s">
        <v>5302</v>
      </c>
    </row>
    <row r="330" spans="1:6" ht="20" customHeight="1" x14ac:dyDescent="0.15">
      <c r="A330" s="64" t="s">
        <v>350</v>
      </c>
      <c r="B330" s="70" t="s">
        <v>819</v>
      </c>
      <c r="C330" s="64" t="s">
        <v>1539</v>
      </c>
      <c r="D330" s="76" t="s">
        <v>5288</v>
      </c>
      <c r="E330" s="62" t="s">
        <v>1663</v>
      </c>
      <c r="F330" s="62" t="s">
        <v>5392</v>
      </c>
    </row>
    <row r="331" spans="1:6" ht="23" customHeight="1" x14ac:dyDescent="0.15">
      <c r="A331" s="64" t="s">
        <v>350</v>
      </c>
      <c r="B331" s="70" t="s">
        <v>820</v>
      </c>
      <c r="C331" s="64" t="s">
        <v>1540</v>
      </c>
      <c r="D331" s="76" t="s">
        <v>5288</v>
      </c>
      <c r="E331" s="62" t="s">
        <v>1672</v>
      </c>
      <c r="F331" s="62" t="s">
        <v>5338</v>
      </c>
    </row>
    <row r="332" spans="1:6" ht="20" customHeight="1" x14ac:dyDescent="0.15">
      <c r="A332" s="64" t="s">
        <v>350</v>
      </c>
      <c r="B332" s="70" t="s">
        <v>821</v>
      </c>
      <c r="C332" s="64" t="s">
        <v>1541</v>
      </c>
      <c r="D332" s="76" t="s">
        <v>5430</v>
      </c>
      <c r="E332" s="62" t="s">
        <v>1594</v>
      </c>
      <c r="F332" s="62" t="s">
        <v>1582</v>
      </c>
    </row>
    <row r="333" spans="1:6" ht="24" customHeight="1" x14ac:dyDescent="0.15">
      <c r="A333" s="64" t="s">
        <v>350</v>
      </c>
      <c r="B333" s="70" t="s">
        <v>483</v>
      </c>
      <c r="C333" s="64" t="s">
        <v>1542</v>
      </c>
      <c r="D333" s="76" t="s">
        <v>5432</v>
      </c>
      <c r="E333" s="81" t="s">
        <v>5339</v>
      </c>
      <c r="F333" s="62" t="s">
        <v>5340</v>
      </c>
    </row>
    <row r="334" spans="1:6" ht="15" customHeight="1" x14ac:dyDescent="0.15">
      <c r="A334" s="64" t="s">
        <v>350</v>
      </c>
      <c r="B334" s="70" t="s">
        <v>822</v>
      </c>
      <c r="C334" s="64" t="s">
        <v>1543</v>
      </c>
      <c r="D334" s="76" t="s">
        <v>5432</v>
      </c>
      <c r="E334" s="62" t="s">
        <v>1594</v>
      </c>
      <c r="F334" s="62" t="s">
        <v>1582</v>
      </c>
    </row>
    <row r="335" spans="1:6" ht="24" customHeight="1" x14ac:dyDescent="0.15">
      <c r="A335" s="64" t="s">
        <v>350</v>
      </c>
      <c r="B335" s="70" t="s">
        <v>823</v>
      </c>
      <c r="C335" s="64" t="s">
        <v>1531</v>
      </c>
      <c r="D335" s="76" t="s">
        <v>5430</v>
      </c>
      <c r="E335" s="62" t="s">
        <v>1626</v>
      </c>
      <c r="F335" s="62" t="s">
        <v>5360</v>
      </c>
    </row>
    <row r="336" spans="1:6" ht="24" customHeight="1" x14ac:dyDescent="0.15">
      <c r="A336" s="64" t="s">
        <v>350</v>
      </c>
      <c r="B336" s="70" t="s">
        <v>824</v>
      </c>
      <c r="C336" s="64" t="s">
        <v>1544</v>
      </c>
      <c r="D336" s="76" t="s">
        <v>5432</v>
      </c>
      <c r="E336" s="62" t="s">
        <v>913</v>
      </c>
      <c r="F336" s="56" t="s">
        <v>5265</v>
      </c>
    </row>
    <row r="337" spans="1:6" ht="20" customHeight="1" x14ac:dyDescent="0.15">
      <c r="A337" s="64" t="s">
        <v>350</v>
      </c>
      <c r="B337" s="70" t="s">
        <v>1545</v>
      </c>
      <c r="C337" s="64" t="s">
        <v>1546</v>
      </c>
      <c r="D337" s="76" t="s">
        <v>5430</v>
      </c>
      <c r="E337" s="62" t="s">
        <v>1702</v>
      </c>
      <c r="F337" s="56" t="s">
        <v>5341</v>
      </c>
    </row>
    <row r="338" spans="1:6" ht="24" customHeight="1" x14ac:dyDescent="0.15">
      <c r="A338" s="64" t="s">
        <v>350</v>
      </c>
      <c r="B338" s="70" t="s">
        <v>1547</v>
      </c>
      <c r="C338" s="64" t="s">
        <v>1548</v>
      </c>
      <c r="D338" s="76" t="s">
        <v>5430</v>
      </c>
      <c r="E338" s="62" t="s">
        <v>1125</v>
      </c>
      <c r="F338" s="56" t="s">
        <v>1579</v>
      </c>
    </row>
    <row r="339" spans="1:6" ht="24" customHeight="1" x14ac:dyDescent="0.15">
      <c r="A339" s="64" t="s">
        <v>350</v>
      </c>
      <c r="B339" s="70" t="s">
        <v>826</v>
      </c>
      <c r="C339" s="64" t="s">
        <v>1549</v>
      </c>
      <c r="D339" s="76" t="s">
        <v>5288</v>
      </c>
      <c r="E339" s="62" t="s">
        <v>1631</v>
      </c>
    </row>
    <row r="340" spans="1:6" ht="24" customHeight="1" x14ac:dyDescent="0.15">
      <c r="A340" s="64" t="s">
        <v>350</v>
      </c>
      <c r="B340" s="70" t="s">
        <v>400</v>
      </c>
      <c r="C340" s="64" t="s">
        <v>1550</v>
      </c>
      <c r="D340" s="76" t="s">
        <v>5430</v>
      </c>
      <c r="E340" s="62" t="s">
        <v>1606</v>
      </c>
      <c r="F340" s="58" t="s">
        <v>5274</v>
      </c>
    </row>
    <row r="341" spans="1:6" ht="24" customHeight="1" x14ac:dyDescent="0.15">
      <c r="A341" s="64" t="s">
        <v>350</v>
      </c>
      <c r="B341" s="70" t="s">
        <v>1551</v>
      </c>
      <c r="C341" s="64" t="s">
        <v>1552</v>
      </c>
      <c r="D341" s="76" t="s">
        <v>5430</v>
      </c>
      <c r="E341" s="62" t="s">
        <v>1606</v>
      </c>
      <c r="F341" s="58" t="s">
        <v>5274</v>
      </c>
    </row>
    <row r="342" spans="1:6" ht="15" customHeight="1" x14ac:dyDescent="0.15">
      <c r="A342" s="64" t="s">
        <v>350</v>
      </c>
      <c r="B342" s="70" t="s">
        <v>828</v>
      </c>
      <c r="C342" s="64" t="s">
        <v>1553</v>
      </c>
      <c r="D342" s="76" t="s">
        <v>5432</v>
      </c>
      <c r="E342" s="62" t="s">
        <v>1606</v>
      </c>
      <c r="F342" s="58" t="s">
        <v>5274</v>
      </c>
    </row>
    <row r="343" spans="1:6" ht="15" customHeight="1" x14ac:dyDescent="0.15">
      <c r="A343" s="64" t="s">
        <v>350</v>
      </c>
      <c r="B343" s="70" t="s">
        <v>829</v>
      </c>
      <c r="C343" s="64" t="s">
        <v>1554</v>
      </c>
      <c r="D343" s="76" t="s">
        <v>5432</v>
      </c>
      <c r="E343" s="62" t="s">
        <v>1125</v>
      </c>
      <c r="F343" s="56" t="s">
        <v>1579</v>
      </c>
    </row>
    <row r="344" spans="1:6" ht="24" customHeight="1" x14ac:dyDescent="0.15">
      <c r="A344" s="64" t="s">
        <v>350</v>
      </c>
      <c r="B344" s="70" t="s">
        <v>830</v>
      </c>
      <c r="C344" s="64" t="s">
        <v>1555</v>
      </c>
      <c r="D344" s="76" t="s">
        <v>5432</v>
      </c>
      <c r="E344" s="62" t="s">
        <v>1713</v>
      </c>
      <c r="F344" s="59" t="s">
        <v>5342</v>
      </c>
    </row>
    <row r="345" spans="1:6" ht="23" customHeight="1" x14ac:dyDescent="0.15">
      <c r="A345" s="64" t="s">
        <v>350</v>
      </c>
      <c r="B345" s="70" t="s">
        <v>831</v>
      </c>
      <c r="C345" s="64" t="s">
        <v>1556</v>
      </c>
      <c r="D345" s="76" t="s">
        <v>5430</v>
      </c>
      <c r="E345" s="62" t="s">
        <v>1715</v>
      </c>
      <c r="F345" s="56" t="s">
        <v>5343</v>
      </c>
    </row>
    <row r="346" spans="1:6" ht="23" customHeight="1" x14ac:dyDescent="0.15">
      <c r="A346" s="64" t="s">
        <v>350</v>
      </c>
      <c r="B346" s="70" t="s">
        <v>1557</v>
      </c>
      <c r="C346" s="64" t="s">
        <v>1558</v>
      </c>
      <c r="D346" s="76" t="s">
        <v>5430</v>
      </c>
      <c r="E346" s="62" t="s">
        <v>5344</v>
      </c>
      <c r="F346" s="56" t="s">
        <v>5393</v>
      </c>
    </row>
    <row r="347" spans="1:6" ht="24" customHeight="1" x14ac:dyDescent="0.15">
      <c r="A347" s="64" t="s">
        <v>350</v>
      </c>
      <c r="B347" s="70" t="s">
        <v>833</v>
      </c>
      <c r="C347" s="64" t="s">
        <v>1559</v>
      </c>
      <c r="D347" s="76" t="s">
        <v>5430</v>
      </c>
      <c r="E347" s="62" t="s">
        <v>5437</v>
      </c>
    </row>
    <row r="348" spans="1:6" ht="24" customHeight="1" x14ac:dyDescent="0.15">
      <c r="A348" s="64" t="s">
        <v>350</v>
      </c>
      <c r="B348" s="70" t="s">
        <v>834</v>
      </c>
      <c r="C348" s="64" t="s">
        <v>1560</v>
      </c>
      <c r="D348" s="76" t="s">
        <v>5430</v>
      </c>
      <c r="E348" s="62" t="s">
        <v>1716</v>
      </c>
    </row>
    <row r="349" spans="1:6" ht="24" customHeight="1" x14ac:dyDescent="0.15">
      <c r="A349" s="64" t="s">
        <v>350</v>
      </c>
      <c r="B349" s="70" t="s">
        <v>835</v>
      </c>
      <c r="C349" s="64" t="s">
        <v>1561</v>
      </c>
      <c r="D349" s="76" t="s">
        <v>5430</v>
      </c>
      <c r="E349" s="62" t="s">
        <v>1716</v>
      </c>
    </row>
    <row r="350" spans="1:6" ht="24" customHeight="1" x14ac:dyDescent="0.15">
      <c r="A350" s="64" t="s">
        <v>350</v>
      </c>
      <c r="B350" s="70" t="s">
        <v>836</v>
      </c>
      <c r="C350" s="64" t="s">
        <v>1562</v>
      </c>
      <c r="D350" s="76" t="s">
        <v>5430</v>
      </c>
      <c r="E350" s="62" t="s">
        <v>1716</v>
      </c>
    </row>
    <row r="351" spans="1:6" ht="41" customHeight="1" x14ac:dyDescent="0.15">
      <c r="A351" s="64" t="s">
        <v>350</v>
      </c>
      <c r="B351" s="70" t="s">
        <v>1563</v>
      </c>
      <c r="C351" s="64" t="s">
        <v>1564</v>
      </c>
      <c r="D351" s="76" t="s">
        <v>5430</v>
      </c>
      <c r="E351" s="62" t="s">
        <v>1717</v>
      </c>
      <c r="F351" s="56" t="s">
        <v>5394</v>
      </c>
    </row>
    <row r="352" spans="1:6" ht="24" customHeight="1" x14ac:dyDescent="0.15">
      <c r="A352" s="64" t="s">
        <v>350</v>
      </c>
      <c r="B352" s="67" t="s">
        <v>479</v>
      </c>
      <c r="C352" s="64" t="s">
        <v>1565</v>
      </c>
      <c r="D352" s="76" t="s">
        <v>5430</v>
      </c>
      <c r="E352" s="62" t="s">
        <v>1728</v>
      </c>
      <c r="F352" s="62" t="s">
        <v>5345</v>
      </c>
    </row>
    <row r="353" spans="1:6" ht="24" customHeight="1" x14ac:dyDescent="0.15">
      <c r="A353" s="64" t="s">
        <v>350</v>
      </c>
      <c r="B353" s="67" t="s">
        <v>837</v>
      </c>
      <c r="C353" s="64" t="s">
        <v>1566</v>
      </c>
      <c r="D353" s="76" t="s">
        <v>5288</v>
      </c>
      <c r="E353" s="62" t="s">
        <v>1729</v>
      </c>
      <c r="F353" s="56" t="s">
        <v>5227</v>
      </c>
    </row>
    <row r="354" spans="1:6" ht="15" customHeight="1" x14ac:dyDescent="0.15">
      <c r="A354" s="64" t="s">
        <v>350</v>
      </c>
      <c r="B354" s="67" t="s">
        <v>457</v>
      </c>
      <c r="C354" s="64" t="s">
        <v>1567</v>
      </c>
      <c r="D354" s="76" t="s">
        <v>5430</v>
      </c>
      <c r="E354" s="62" t="s">
        <v>1745</v>
      </c>
      <c r="F354" s="62" t="s">
        <v>5395</v>
      </c>
    </row>
  </sheetData>
  <sortState xmlns:xlrd2="http://schemas.microsoft.com/office/spreadsheetml/2017/richdata2" ref="A2:I358">
    <sortCondition ref="A2:A358"/>
    <sortCondition ref="B2:B358"/>
  </sortState>
  <pageMargins left="0.7" right="0.7" top="0.75" bottom="0.75" header="0.3" footer="0.3"/>
  <pageSetup orientation="portrait" horizontalDpi="300" verticalDpi="30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69"/>
  <sheetViews>
    <sheetView topLeftCell="A144" workbookViewId="0">
      <selection activeCell="M178" sqref="M178"/>
    </sheetView>
  </sheetViews>
  <sheetFormatPr baseColWidth="10" defaultRowHeight="13" x14ac:dyDescent="0.15"/>
  <cols>
    <col min="1" max="1" width="10.83203125" style="51"/>
    <col min="2" max="2" width="24.33203125" style="51" customWidth="1"/>
    <col min="3" max="3" width="13.83203125" style="51" customWidth="1"/>
    <col min="4" max="4" width="21" style="83" customWidth="1"/>
    <col min="5" max="5" width="10.83203125" style="83"/>
    <col min="6" max="6" width="34.33203125" style="51" customWidth="1"/>
    <col min="7" max="16384" width="10.83203125" style="51"/>
  </cols>
  <sheetData>
    <row r="1" spans="2:7" x14ac:dyDescent="0.15">
      <c r="B1" s="51" t="s">
        <v>4477</v>
      </c>
      <c r="D1" s="82" t="s">
        <v>4478</v>
      </c>
    </row>
    <row r="2" spans="2:7" x14ac:dyDescent="0.15">
      <c r="D2" s="82" t="s">
        <v>4479</v>
      </c>
    </row>
    <row r="3" spans="2:7" x14ac:dyDescent="0.15">
      <c r="B3" s="51" t="s">
        <v>4480</v>
      </c>
    </row>
    <row r="5" spans="2:7" x14ac:dyDescent="0.15">
      <c r="B5" s="51" t="s">
        <v>1</v>
      </c>
      <c r="C5" s="51" t="s">
        <v>2</v>
      </c>
      <c r="D5" s="83" t="s">
        <v>4481</v>
      </c>
      <c r="E5" s="83" t="s">
        <v>4482</v>
      </c>
      <c r="F5" s="51" t="s">
        <v>4483</v>
      </c>
      <c r="G5" s="51" t="s">
        <v>903</v>
      </c>
    </row>
    <row r="7" spans="2:7" x14ac:dyDescent="0.15">
      <c r="B7" s="51" t="s">
        <v>658</v>
      </c>
      <c r="C7" s="51" t="s">
        <v>59</v>
      </c>
      <c r="D7" s="83">
        <v>48</v>
      </c>
      <c r="E7" s="83" t="s">
        <v>4484</v>
      </c>
      <c r="F7" s="51" t="s">
        <v>4485</v>
      </c>
      <c r="G7" s="51" t="s">
        <v>4486</v>
      </c>
    </row>
    <row r="9" spans="2:7" x14ac:dyDescent="0.15">
      <c r="B9" s="51" t="s">
        <v>693</v>
      </c>
      <c r="C9" s="51" t="s">
        <v>219</v>
      </c>
      <c r="D9" s="83">
        <v>55</v>
      </c>
      <c r="E9" s="83" t="s">
        <v>4484</v>
      </c>
      <c r="F9" s="51" t="s">
        <v>4487</v>
      </c>
      <c r="G9" s="51" t="s">
        <v>4488</v>
      </c>
    </row>
    <row r="10" spans="2:7" x14ac:dyDescent="0.15">
      <c r="B10" s="51" t="s">
        <v>695</v>
      </c>
      <c r="C10" s="51" t="s">
        <v>77</v>
      </c>
      <c r="D10" s="83">
        <v>151</v>
      </c>
      <c r="E10" s="83" t="s">
        <v>4489</v>
      </c>
      <c r="F10" s="51" t="s">
        <v>4490</v>
      </c>
      <c r="G10" s="51" t="s">
        <v>4491</v>
      </c>
    </row>
    <row r="11" spans="2:7" x14ac:dyDescent="0.15">
      <c r="B11" s="51" t="s">
        <v>695</v>
      </c>
      <c r="C11" s="51" t="s">
        <v>77</v>
      </c>
      <c r="D11" s="83">
        <v>151</v>
      </c>
      <c r="E11" s="83" t="s">
        <v>4489</v>
      </c>
      <c r="F11" s="51" t="s">
        <v>4492</v>
      </c>
      <c r="G11" s="51" t="s">
        <v>4493</v>
      </c>
    </row>
    <row r="12" spans="2:7" x14ac:dyDescent="0.15">
      <c r="B12" s="51" t="s">
        <v>695</v>
      </c>
      <c r="C12" s="51" t="s">
        <v>4494</v>
      </c>
      <c r="D12" s="83">
        <v>240</v>
      </c>
      <c r="E12" s="83" t="s">
        <v>4489</v>
      </c>
      <c r="F12" s="51" t="s">
        <v>4495</v>
      </c>
      <c r="G12" s="51" t="s">
        <v>4496</v>
      </c>
    </row>
    <row r="13" spans="2:7" x14ac:dyDescent="0.15">
      <c r="B13" s="51" t="s">
        <v>695</v>
      </c>
      <c r="C13" s="51" t="s">
        <v>905</v>
      </c>
      <c r="D13" s="82" t="s">
        <v>4497</v>
      </c>
      <c r="E13" s="83" t="s">
        <v>4498</v>
      </c>
      <c r="F13" s="51" t="s">
        <v>4499</v>
      </c>
      <c r="G13" s="51" t="s">
        <v>613</v>
      </c>
    </row>
    <row r="14" spans="2:7" x14ac:dyDescent="0.15">
      <c r="B14" s="51" t="s">
        <v>695</v>
      </c>
      <c r="C14" s="51" t="s">
        <v>905</v>
      </c>
      <c r="D14" s="82" t="s">
        <v>4500</v>
      </c>
      <c r="E14" s="83" t="s">
        <v>4498</v>
      </c>
      <c r="F14" s="51" t="s">
        <v>4501</v>
      </c>
      <c r="G14" s="51" t="s">
        <v>613</v>
      </c>
    </row>
    <row r="15" spans="2:7" x14ac:dyDescent="0.15">
      <c r="B15" s="51" t="s">
        <v>695</v>
      </c>
      <c r="C15" s="51" t="s">
        <v>106</v>
      </c>
      <c r="D15" s="83" t="s">
        <v>4502</v>
      </c>
      <c r="E15" s="83" t="s">
        <v>4498</v>
      </c>
      <c r="F15" s="51" t="s">
        <v>4503</v>
      </c>
      <c r="G15" s="51" t="s">
        <v>4504</v>
      </c>
    </row>
    <row r="16" spans="2:7" x14ac:dyDescent="0.15">
      <c r="B16" s="51" t="s">
        <v>490</v>
      </c>
      <c r="C16" s="51" t="s">
        <v>260</v>
      </c>
      <c r="D16" s="83" t="s">
        <v>4505</v>
      </c>
      <c r="E16" s="83" t="s">
        <v>4506</v>
      </c>
      <c r="F16" s="51" t="s">
        <v>4507</v>
      </c>
      <c r="G16" s="51" t="s">
        <v>4508</v>
      </c>
    </row>
    <row r="17" spans="2:7" x14ac:dyDescent="0.15">
      <c r="B17" s="51" t="s">
        <v>490</v>
      </c>
      <c r="C17" s="51" t="s">
        <v>260</v>
      </c>
      <c r="D17" s="83" t="s">
        <v>4509</v>
      </c>
      <c r="E17" s="83" t="s">
        <v>4506</v>
      </c>
      <c r="F17" s="51" t="s">
        <v>4510</v>
      </c>
      <c r="G17" s="51" t="s">
        <v>4508</v>
      </c>
    </row>
    <row r="19" spans="2:7" x14ac:dyDescent="0.15">
      <c r="B19" s="51" t="s">
        <v>689</v>
      </c>
      <c r="C19" s="51" t="s">
        <v>200</v>
      </c>
      <c r="D19" s="83" t="s">
        <v>4511</v>
      </c>
      <c r="E19" s="83" t="s">
        <v>4484</v>
      </c>
      <c r="F19" s="51" t="s">
        <v>4512</v>
      </c>
      <c r="G19" s="51" t="s">
        <v>4513</v>
      </c>
    </row>
    <row r="20" spans="2:7" x14ac:dyDescent="0.15">
      <c r="B20" s="51" t="s">
        <v>689</v>
      </c>
      <c r="C20" s="51" t="s">
        <v>4514</v>
      </c>
      <c r="D20" s="83" t="s">
        <v>4515</v>
      </c>
      <c r="E20" s="83" t="s">
        <v>4484</v>
      </c>
      <c r="F20" s="51" t="s">
        <v>4516</v>
      </c>
      <c r="G20" s="51" t="s">
        <v>4517</v>
      </c>
    </row>
    <row r="21" spans="2:7" x14ac:dyDescent="0.15">
      <c r="B21" s="51" t="s">
        <v>689</v>
      </c>
      <c r="C21" s="51" t="s">
        <v>69</v>
      </c>
      <c r="D21" s="83" t="s">
        <v>4515</v>
      </c>
      <c r="E21" s="83" t="s">
        <v>4484</v>
      </c>
      <c r="F21" s="51" t="s">
        <v>4518</v>
      </c>
      <c r="G21" s="51" t="s">
        <v>4519</v>
      </c>
    </row>
    <row r="22" spans="2:7" x14ac:dyDescent="0.15">
      <c r="B22" s="51" t="s">
        <v>690</v>
      </c>
      <c r="C22" s="51" t="s">
        <v>4520</v>
      </c>
      <c r="D22" s="83" t="s">
        <v>4521</v>
      </c>
      <c r="E22" s="83" t="s">
        <v>4484</v>
      </c>
      <c r="F22" s="51" t="s">
        <v>4522</v>
      </c>
      <c r="G22" s="51" t="s">
        <v>4523</v>
      </c>
    </row>
    <row r="23" spans="2:7" x14ac:dyDescent="0.15">
      <c r="B23" s="51" t="s">
        <v>690</v>
      </c>
      <c r="C23" s="51" t="s">
        <v>203</v>
      </c>
      <c r="D23" s="83" t="s">
        <v>4524</v>
      </c>
      <c r="E23" s="83" t="s">
        <v>4484</v>
      </c>
      <c r="F23" s="51" t="s">
        <v>4525</v>
      </c>
      <c r="G23" s="51" t="s">
        <v>4526</v>
      </c>
    </row>
    <row r="24" spans="2:7" x14ac:dyDescent="0.15">
      <c r="B24" s="51" t="s">
        <v>690</v>
      </c>
      <c r="C24" s="51" t="s">
        <v>4527</v>
      </c>
      <c r="D24" s="83" t="s">
        <v>4528</v>
      </c>
      <c r="E24" s="83" t="s">
        <v>4484</v>
      </c>
      <c r="F24" s="51" t="s">
        <v>4529</v>
      </c>
      <c r="G24" s="51" t="s">
        <v>4530</v>
      </c>
    </row>
    <row r="25" spans="2:7" x14ac:dyDescent="0.15">
      <c r="B25" s="51" t="s">
        <v>690</v>
      </c>
      <c r="C25" s="51" t="s">
        <v>3115</v>
      </c>
      <c r="D25" s="83" t="s">
        <v>4531</v>
      </c>
      <c r="E25" s="83" t="s">
        <v>4484</v>
      </c>
      <c r="F25" s="51" t="s">
        <v>4532</v>
      </c>
      <c r="G25" s="51" t="s">
        <v>4533</v>
      </c>
    </row>
    <row r="26" spans="2:7" x14ac:dyDescent="0.15">
      <c r="B26" s="51" t="s">
        <v>690</v>
      </c>
      <c r="C26" s="51" t="s">
        <v>4534</v>
      </c>
      <c r="D26" s="83" t="s">
        <v>4535</v>
      </c>
      <c r="E26" s="83" t="s">
        <v>4484</v>
      </c>
      <c r="F26" s="51" t="s">
        <v>4536</v>
      </c>
      <c r="G26" s="51" t="s">
        <v>4537</v>
      </c>
    </row>
    <row r="27" spans="2:7" x14ac:dyDescent="0.15">
      <c r="B27" s="51" t="s">
        <v>690</v>
      </c>
      <c r="C27" s="51" t="s">
        <v>73</v>
      </c>
      <c r="D27" s="83" t="s">
        <v>4538</v>
      </c>
      <c r="E27" s="83" t="s">
        <v>4484</v>
      </c>
      <c r="F27" s="51" t="s">
        <v>4539</v>
      </c>
      <c r="G27" s="51" t="s">
        <v>4533</v>
      </c>
    </row>
    <row r="28" spans="2:7" x14ac:dyDescent="0.15">
      <c r="B28" s="51" t="s">
        <v>690</v>
      </c>
      <c r="C28" s="51" t="s">
        <v>4540</v>
      </c>
      <c r="D28" s="83">
        <v>323</v>
      </c>
      <c r="E28" s="83" t="s">
        <v>4541</v>
      </c>
      <c r="F28" s="51" t="s">
        <v>4542</v>
      </c>
      <c r="G28" s="51" t="s">
        <v>4543</v>
      </c>
    </row>
    <row r="29" spans="2:7" x14ac:dyDescent="0.15">
      <c r="B29" s="51" t="s">
        <v>690</v>
      </c>
      <c r="C29" s="51" t="s">
        <v>4544</v>
      </c>
      <c r="D29" s="83" t="s">
        <v>4545</v>
      </c>
      <c r="E29" s="83" t="s">
        <v>4484</v>
      </c>
      <c r="F29" s="51" t="s">
        <v>4546</v>
      </c>
      <c r="G29" s="51" t="s">
        <v>4513</v>
      </c>
    </row>
    <row r="30" spans="2:7" x14ac:dyDescent="0.15">
      <c r="B30" s="51" t="s">
        <v>690</v>
      </c>
      <c r="C30" s="51" t="s">
        <v>200</v>
      </c>
      <c r="D30" s="83" t="s">
        <v>4547</v>
      </c>
      <c r="E30" s="83" t="s">
        <v>4484</v>
      </c>
      <c r="F30" s="51" t="s">
        <v>4548</v>
      </c>
      <c r="G30" s="51" t="s">
        <v>4513</v>
      </c>
    </row>
    <row r="31" spans="2:7" x14ac:dyDescent="0.15">
      <c r="B31" s="51" t="s">
        <v>690</v>
      </c>
      <c r="C31" s="51" t="s">
        <v>200</v>
      </c>
      <c r="D31" s="83" t="s">
        <v>4549</v>
      </c>
      <c r="E31" s="83" t="s">
        <v>4484</v>
      </c>
      <c r="F31" s="51" t="s">
        <v>4550</v>
      </c>
      <c r="G31" s="51" t="s">
        <v>4513</v>
      </c>
    </row>
    <row r="32" spans="2:7" x14ac:dyDescent="0.15">
      <c r="B32" s="51" t="s">
        <v>690</v>
      </c>
      <c r="C32" s="51" t="s">
        <v>4551</v>
      </c>
      <c r="D32" s="83">
        <v>22</v>
      </c>
      <c r="E32" s="83" t="s">
        <v>4489</v>
      </c>
      <c r="F32" s="51" t="s">
        <v>4552</v>
      </c>
      <c r="G32" s="51" t="s">
        <v>4553</v>
      </c>
    </row>
    <row r="33" spans="2:7" x14ac:dyDescent="0.15">
      <c r="B33" s="51" t="s">
        <v>690</v>
      </c>
      <c r="C33" s="51" t="s">
        <v>4554</v>
      </c>
      <c r="D33" s="83">
        <v>15</v>
      </c>
      <c r="E33" s="83" t="s">
        <v>4489</v>
      </c>
      <c r="F33" s="51" t="s">
        <v>4555</v>
      </c>
      <c r="G33" s="51" t="s">
        <v>4556</v>
      </c>
    </row>
    <row r="34" spans="2:7" x14ac:dyDescent="0.15">
      <c r="B34" s="51" t="s">
        <v>691</v>
      </c>
      <c r="C34" s="51" t="s">
        <v>4557</v>
      </c>
      <c r="D34" s="83" t="s">
        <v>4558</v>
      </c>
      <c r="E34" s="83" t="s">
        <v>4484</v>
      </c>
      <c r="F34" s="51" t="s">
        <v>4559</v>
      </c>
      <c r="G34" s="51" t="s">
        <v>4560</v>
      </c>
    </row>
    <row r="35" spans="2:7" x14ac:dyDescent="0.15">
      <c r="B35" s="51" t="s">
        <v>691</v>
      </c>
      <c r="C35" s="51" t="s">
        <v>4561</v>
      </c>
      <c r="D35" s="83" t="s">
        <v>4524</v>
      </c>
      <c r="E35" s="83" t="s">
        <v>4484</v>
      </c>
      <c r="F35" s="51" t="s">
        <v>4562</v>
      </c>
      <c r="G35" s="51" t="s">
        <v>4563</v>
      </c>
    </row>
    <row r="36" spans="2:7" x14ac:dyDescent="0.15">
      <c r="B36" s="51" t="s">
        <v>691</v>
      </c>
      <c r="C36" s="51" t="s">
        <v>904</v>
      </c>
      <c r="D36" s="83">
        <v>28</v>
      </c>
      <c r="E36" s="83" t="s">
        <v>4489</v>
      </c>
      <c r="F36" s="51" t="s">
        <v>4564</v>
      </c>
      <c r="G36" s="51" t="s">
        <v>4565</v>
      </c>
    </row>
    <row r="37" spans="2:7" x14ac:dyDescent="0.15">
      <c r="B37" s="51" t="s">
        <v>3119</v>
      </c>
      <c r="C37" s="51" t="s">
        <v>379</v>
      </c>
      <c r="D37" s="83" t="s">
        <v>4566</v>
      </c>
      <c r="E37" s="83" t="s">
        <v>4484</v>
      </c>
      <c r="F37" s="51" t="s">
        <v>4567</v>
      </c>
      <c r="G37" s="51" t="s">
        <v>4568</v>
      </c>
    </row>
    <row r="38" spans="2:7" x14ac:dyDescent="0.15">
      <c r="B38" s="51" t="s">
        <v>872</v>
      </c>
      <c r="C38" s="51" t="s">
        <v>4551</v>
      </c>
      <c r="D38" s="83">
        <v>14</v>
      </c>
      <c r="E38" s="83" t="s">
        <v>4489</v>
      </c>
      <c r="F38" s="51" t="s">
        <v>4569</v>
      </c>
      <c r="G38" s="51" t="s">
        <v>4553</v>
      </c>
    </row>
    <row r="40" spans="2:7" x14ac:dyDescent="0.15">
      <c r="B40" s="51" t="s">
        <v>697</v>
      </c>
      <c r="C40" s="51" t="s">
        <v>3151</v>
      </c>
      <c r="D40" s="83" t="s">
        <v>4570</v>
      </c>
      <c r="E40" s="83" t="s">
        <v>4484</v>
      </c>
      <c r="F40" s="51" t="s">
        <v>4571</v>
      </c>
      <c r="G40" s="51" t="s">
        <v>4572</v>
      </c>
    </row>
    <row r="41" spans="2:7" x14ac:dyDescent="0.15">
      <c r="B41" s="51" t="s">
        <v>697</v>
      </c>
      <c r="C41" s="51" t="s">
        <v>73</v>
      </c>
      <c r="D41" s="83" t="s">
        <v>4573</v>
      </c>
      <c r="E41" s="83" t="s">
        <v>4484</v>
      </c>
      <c r="F41" s="51" t="s">
        <v>4574</v>
      </c>
      <c r="G41" s="51" t="s">
        <v>4575</v>
      </c>
    </row>
    <row r="42" spans="2:7" x14ac:dyDescent="0.15">
      <c r="B42" s="51" t="s">
        <v>697</v>
      </c>
      <c r="C42" s="51" t="s">
        <v>4576</v>
      </c>
      <c r="D42" s="83" t="s">
        <v>4573</v>
      </c>
      <c r="E42" s="83" t="s">
        <v>4484</v>
      </c>
      <c r="F42" s="51" t="s">
        <v>4577</v>
      </c>
      <c r="G42" s="51" t="s">
        <v>4523</v>
      </c>
    </row>
    <row r="44" spans="2:7" x14ac:dyDescent="0.15">
      <c r="B44" s="51" t="s">
        <v>768</v>
      </c>
      <c r="C44" s="51" t="s">
        <v>616</v>
      </c>
      <c r="D44" s="83">
        <v>6</v>
      </c>
      <c r="E44" s="83" t="s">
        <v>4489</v>
      </c>
      <c r="F44" s="51" t="s">
        <v>4578</v>
      </c>
      <c r="G44" s="51" t="s">
        <v>4579</v>
      </c>
    </row>
    <row r="45" spans="2:7" x14ac:dyDescent="0.15">
      <c r="B45" s="51" t="s">
        <v>769</v>
      </c>
      <c r="C45" s="51" t="s">
        <v>4476</v>
      </c>
      <c r="D45" s="83">
        <v>23</v>
      </c>
      <c r="E45" s="83" t="s">
        <v>4489</v>
      </c>
      <c r="F45" s="51" t="s">
        <v>4580</v>
      </c>
      <c r="G45" s="51" t="s">
        <v>4579</v>
      </c>
    </row>
    <row r="46" spans="2:7" x14ac:dyDescent="0.15">
      <c r="B46" s="51" t="s">
        <v>545</v>
      </c>
      <c r="C46" s="51" t="s">
        <v>69</v>
      </c>
      <c r="D46" s="83">
        <v>6</v>
      </c>
      <c r="E46" s="83" t="s">
        <v>4489</v>
      </c>
      <c r="F46" s="51" t="s">
        <v>4581</v>
      </c>
      <c r="G46" s="51" t="s">
        <v>4579</v>
      </c>
    </row>
    <row r="47" spans="2:7" x14ac:dyDescent="0.15">
      <c r="B47" s="51" t="s">
        <v>545</v>
      </c>
      <c r="C47" s="51" t="s">
        <v>4582</v>
      </c>
      <c r="D47" s="83">
        <v>157</v>
      </c>
      <c r="E47" s="83" t="s">
        <v>4489</v>
      </c>
      <c r="F47" s="51" t="s">
        <v>4583</v>
      </c>
      <c r="G47" s="51" t="s">
        <v>4584</v>
      </c>
    </row>
    <row r="48" spans="2:7" x14ac:dyDescent="0.15">
      <c r="B48" s="51" t="s">
        <v>545</v>
      </c>
      <c r="C48" s="51" t="s">
        <v>69</v>
      </c>
      <c r="D48" s="83" t="s">
        <v>4762</v>
      </c>
      <c r="E48" s="83" t="s">
        <v>4498</v>
      </c>
      <c r="F48" s="51" t="s">
        <v>5169</v>
      </c>
      <c r="G48" s="51" t="s">
        <v>5170</v>
      </c>
    </row>
    <row r="49" spans="2:9" x14ac:dyDescent="0.15">
      <c r="B49" s="51" t="s">
        <v>545</v>
      </c>
      <c r="C49" s="51" t="s">
        <v>69</v>
      </c>
      <c r="D49" s="83" t="s">
        <v>5171</v>
      </c>
      <c r="E49" s="83" t="s">
        <v>4498</v>
      </c>
      <c r="F49" s="51" t="s">
        <v>5172</v>
      </c>
      <c r="G49" s="51" t="s">
        <v>5170</v>
      </c>
    </row>
    <row r="50" spans="2:9" x14ac:dyDescent="0.15">
      <c r="B50" s="51" t="s">
        <v>624</v>
      </c>
      <c r="C50" s="51" t="s">
        <v>4585</v>
      </c>
      <c r="D50" s="83" t="s">
        <v>4586</v>
      </c>
      <c r="E50" s="83" t="s">
        <v>4489</v>
      </c>
      <c r="F50" s="51" t="s">
        <v>4587</v>
      </c>
      <c r="G50" s="51" t="s">
        <v>613</v>
      </c>
    </row>
    <row r="51" spans="2:9" x14ac:dyDescent="0.15">
      <c r="B51" s="51" t="s">
        <v>624</v>
      </c>
      <c r="C51" s="51" t="s">
        <v>4585</v>
      </c>
      <c r="D51" s="83" t="s">
        <v>4588</v>
      </c>
      <c r="E51" s="83" t="s">
        <v>4489</v>
      </c>
      <c r="F51" s="51" t="s">
        <v>4589</v>
      </c>
      <c r="G51" s="51" t="s">
        <v>613</v>
      </c>
    </row>
    <row r="52" spans="2:9" x14ac:dyDescent="0.15">
      <c r="B52" s="51" t="s">
        <v>770</v>
      </c>
      <c r="C52" s="51" t="s">
        <v>4590</v>
      </c>
      <c r="D52" s="83">
        <v>39</v>
      </c>
      <c r="E52" s="83" t="s">
        <v>4498</v>
      </c>
      <c r="F52" s="51" t="s">
        <v>4591</v>
      </c>
      <c r="G52" s="51" t="s">
        <v>4592</v>
      </c>
    </row>
    <row r="53" spans="2:9" x14ac:dyDescent="0.15">
      <c r="B53" s="51" t="s">
        <v>773</v>
      </c>
      <c r="C53" s="51" t="s">
        <v>106</v>
      </c>
      <c r="D53" s="83">
        <v>253</v>
      </c>
      <c r="E53" s="83" t="s">
        <v>4489</v>
      </c>
      <c r="F53" s="51" t="s">
        <v>4593</v>
      </c>
      <c r="G53" s="51" t="s">
        <v>4579</v>
      </c>
    </row>
    <row r="54" spans="2:9" x14ac:dyDescent="0.15">
      <c r="B54" s="51" t="s">
        <v>773</v>
      </c>
      <c r="C54" s="51" t="s">
        <v>106</v>
      </c>
      <c r="D54" s="83" t="s">
        <v>4594</v>
      </c>
      <c r="E54" s="83" t="s">
        <v>4498</v>
      </c>
      <c r="F54" s="51" t="s">
        <v>4595</v>
      </c>
      <c r="G54" s="51" t="s">
        <v>4596</v>
      </c>
    </row>
    <row r="55" spans="2:9" x14ac:dyDescent="0.15">
      <c r="B55" s="51" t="s">
        <v>370</v>
      </c>
      <c r="C55" s="51" t="s">
        <v>379</v>
      </c>
      <c r="D55" s="83">
        <v>12</v>
      </c>
      <c r="E55" s="83" t="s">
        <v>4489</v>
      </c>
      <c r="F55" s="51" t="s">
        <v>4597</v>
      </c>
      <c r="G55" s="51" t="s">
        <v>4579</v>
      </c>
    </row>
    <row r="56" spans="2:9" x14ac:dyDescent="0.15">
      <c r="B56" s="51" t="s">
        <v>774</v>
      </c>
      <c r="C56" s="51" t="s">
        <v>4598</v>
      </c>
      <c r="D56" s="83">
        <v>149</v>
      </c>
      <c r="E56" s="83" t="s">
        <v>4489</v>
      </c>
      <c r="F56" s="51" t="s">
        <v>4599</v>
      </c>
      <c r="G56" s="51" t="s">
        <v>4579</v>
      </c>
    </row>
    <row r="57" spans="2:9" x14ac:dyDescent="0.15">
      <c r="B57" s="51" t="s">
        <v>774</v>
      </c>
      <c r="C57" s="51" t="s">
        <v>4598</v>
      </c>
      <c r="D57" s="83" t="s">
        <v>4600</v>
      </c>
      <c r="E57" s="83" t="s">
        <v>4498</v>
      </c>
      <c r="F57" s="51" t="s">
        <v>4601</v>
      </c>
      <c r="G57" s="51" t="s">
        <v>613</v>
      </c>
    </row>
    <row r="58" spans="2:9" x14ac:dyDescent="0.15">
      <c r="B58" s="51" t="s">
        <v>774</v>
      </c>
      <c r="C58" s="51" t="s">
        <v>4598</v>
      </c>
      <c r="D58" s="83" t="s">
        <v>4602</v>
      </c>
      <c r="E58" s="83" t="s">
        <v>4498</v>
      </c>
      <c r="F58" s="51" t="s">
        <v>4603</v>
      </c>
      <c r="G58" s="51" t="s">
        <v>613</v>
      </c>
    </row>
    <row r="59" spans="2:9" x14ac:dyDescent="0.15">
      <c r="B59" s="51" t="s">
        <v>774</v>
      </c>
      <c r="C59" s="51" t="s">
        <v>4604</v>
      </c>
      <c r="D59" s="83">
        <v>18</v>
      </c>
      <c r="E59" s="83" t="s">
        <v>4489</v>
      </c>
      <c r="F59" s="51" t="s">
        <v>4605</v>
      </c>
      <c r="G59" s="51" t="s">
        <v>4579</v>
      </c>
    </row>
    <row r="60" spans="2:9" x14ac:dyDescent="0.15">
      <c r="B60" s="51" t="s">
        <v>775</v>
      </c>
      <c r="C60" s="51" t="s">
        <v>379</v>
      </c>
      <c r="D60" s="83">
        <v>20</v>
      </c>
      <c r="E60" s="83" t="s">
        <v>4489</v>
      </c>
      <c r="F60" s="51" t="s">
        <v>4606</v>
      </c>
      <c r="G60" s="51" t="s">
        <v>4579</v>
      </c>
    </row>
    <row r="61" spans="2:9" x14ac:dyDescent="0.15">
      <c r="B61" s="51" t="s">
        <v>775</v>
      </c>
      <c r="C61" s="51" t="s">
        <v>379</v>
      </c>
      <c r="D61" s="83" t="s">
        <v>4607</v>
      </c>
      <c r="E61" s="83" t="s">
        <v>4498</v>
      </c>
      <c r="F61" s="54" t="s">
        <v>4608</v>
      </c>
      <c r="G61" s="51" t="s">
        <v>4609</v>
      </c>
      <c r="I61" s="54" t="s">
        <v>4610</v>
      </c>
    </row>
    <row r="62" spans="2:9" x14ac:dyDescent="0.15">
      <c r="B62" s="51" t="s">
        <v>625</v>
      </c>
      <c r="C62" s="51" t="s">
        <v>379</v>
      </c>
      <c r="D62" s="83">
        <v>14</v>
      </c>
      <c r="E62" s="83" t="s">
        <v>4489</v>
      </c>
      <c r="F62" s="51" t="s">
        <v>4611</v>
      </c>
      <c r="G62" s="51" t="s">
        <v>4579</v>
      </c>
    </row>
    <row r="63" spans="2:9" x14ac:dyDescent="0.15">
      <c r="B63" s="51" t="s">
        <v>776</v>
      </c>
      <c r="C63" s="51" t="s">
        <v>588</v>
      </c>
      <c r="D63" s="83">
        <v>11</v>
      </c>
      <c r="E63" s="83" t="s">
        <v>4489</v>
      </c>
      <c r="F63" s="51" t="s">
        <v>4612</v>
      </c>
      <c r="G63" s="51" t="s">
        <v>4579</v>
      </c>
    </row>
    <row r="64" spans="2:9" x14ac:dyDescent="0.15">
      <c r="B64" s="51" t="s">
        <v>4613</v>
      </c>
      <c r="C64" s="51" t="s">
        <v>379</v>
      </c>
      <c r="D64" s="83">
        <v>7</v>
      </c>
      <c r="E64" s="83" t="s">
        <v>4489</v>
      </c>
      <c r="F64" s="51" t="s">
        <v>4614</v>
      </c>
      <c r="G64" s="51" t="s">
        <v>4579</v>
      </c>
    </row>
    <row r="65" spans="2:7" x14ac:dyDescent="0.15">
      <c r="B65" s="51" t="s">
        <v>4613</v>
      </c>
      <c r="C65" s="51" t="s">
        <v>379</v>
      </c>
      <c r="D65" s="83">
        <v>12</v>
      </c>
      <c r="E65" s="83" t="s">
        <v>4498</v>
      </c>
      <c r="F65" s="51" t="s">
        <v>4615</v>
      </c>
      <c r="G65" s="51" t="s">
        <v>4616</v>
      </c>
    </row>
    <row r="66" spans="2:7" x14ac:dyDescent="0.15">
      <c r="B66" s="51" t="s">
        <v>539</v>
      </c>
      <c r="C66" s="51" t="s">
        <v>260</v>
      </c>
      <c r="D66" s="83" t="s">
        <v>4617</v>
      </c>
      <c r="E66" s="83" t="s">
        <v>4498</v>
      </c>
      <c r="F66" s="51" t="s">
        <v>4618</v>
      </c>
      <c r="G66" s="51" t="s">
        <v>4619</v>
      </c>
    </row>
    <row r="67" spans="2:7" x14ac:dyDescent="0.15">
      <c r="B67" s="51" t="s">
        <v>779</v>
      </c>
      <c r="C67" s="51" t="s">
        <v>248</v>
      </c>
      <c r="D67" s="83">
        <v>38</v>
      </c>
      <c r="E67" s="83" t="s">
        <v>4489</v>
      </c>
      <c r="F67" s="51" t="s">
        <v>4620</v>
      </c>
      <c r="G67" s="51" t="s">
        <v>4579</v>
      </c>
    </row>
    <row r="68" spans="2:7" x14ac:dyDescent="0.15">
      <c r="B68" s="51" t="s">
        <v>780</v>
      </c>
      <c r="C68" s="51" t="s">
        <v>4621</v>
      </c>
      <c r="D68" s="83" t="s">
        <v>4622</v>
      </c>
      <c r="E68" s="83" t="s">
        <v>4498</v>
      </c>
      <c r="F68" s="51" t="s">
        <v>4623</v>
      </c>
      <c r="G68" s="51" t="s">
        <v>4624</v>
      </c>
    </row>
    <row r="69" spans="2:7" x14ac:dyDescent="0.15">
      <c r="B69" s="51" t="s">
        <v>780</v>
      </c>
      <c r="C69" s="51" t="s">
        <v>4621</v>
      </c>
      <c r="D69" s="83" t="s">
        <v>4625</v>
      </c>
      <c r="E69" s="83" t="s">
        <v>4498</v>
      </c>
      <c r="F69" s="51" t="s">
        <v>4626</v>
      </c>
      <c r="G69" s="51" t="s">
        <v>4624</v>
      </c>
    </row>
    <row r="70" spans="2:7" x14ac:dyDescent="0.15">
      <c r="B70" s="51" t="s">
        <v>781</v>
      </c>
      <c r="C70" s="51" t="s">
        <v>175</v>
      </c>
      <c r="D70" s="83" t="s">
        <v>4627</v>
      </c>
      <c r="E70" s="83" t="s">
        <v>4498</v>
      </c>
      <c r="F70" s="51" t="s">
        <v>4628</v>
      </c>
      <c r="G70" s="51" t="s">
        <v>4629</v>
      </c>
    </row>
    <row r="71" spans="2:7" x14ac:dyDescent="0.15">
      <c r="B71" s="51" t="s">
        <v>781</v>
      </c>
      <c r="C71" s="51" t="s">
        <v>175</v>
      </c>
      <c r="D71" s="83" t="s">
        <v>4630</v>
      </c>
      <c r="E71" s="83" t="s">
        <v>4498</v>
      </c>
      <c r="F71" s="51" t="s">
        <v>4631</v>
      </c>
      <c r="G71" s="51" t="s">
        <v>4629</v>
      </c>
    </row>
    <row r="72" spans="2:7" x14ac:dyDescent="0.15">
      <c r="B72" s="51" t="s">
        <v>782</v>
      </c>
      <c r="C72" s="51" t="s">
        <v>374</v>
      </c>
      <c r="D72" s="83" t="s">
        <v>4632</v>
      </c>
      <c r="E72" s="83" t="s">
        <v>4498</v>
      </c>
      <c r="F72" s="51" t="s">
        <v>4633</v>
      </c>
      <c r="G72" s="51" t="s">
        <v>4634</v>
      </c>
    </row>
    <row r="73" spans="2:7" x14ac:dyDescent="0.15">
      <c r="B73" s="51" t="s">
        <v>510</v>
      </c>
      <c r="C73" s="51" t="s">
        <v>77</v>
      </c>
      <c r="D73" s="83">
        <v>81</v>
      </c>
      <c r="E73" s="83" t="s">
        <v>4489</v>
      </c>
      <c r="F73" s="51" t="s">
        <v>4635</v>
      </c>
      <c r="G73" s="51" t="s">
        <v>4636</v>
      </c>
    </row>
    <row r="74" spans="2:7" x14ac:dyDescent="0.15">
      <c r="B74" s="51" t="s">
        <v>510</v>
      </c>
      <c r="C74" s="51" t="s">
        <v>905</v>
      </c>
      <c r="D74" s="83">
        <v>171</v>
      </c>
      <c r="E74" s="83" t="s">
        <v>4489</v>
      </c>
      <c r="F74" s="51" t="s">
        <v>4637</v>
      </c>
      <c r="G74" s="51" t="s">
        <v>4638</v>
      </c>
    </row>
    <row r="75" spans="2:7" x14ac:dyDescent="0.15">
      <c r="B75" s="51" t="s">
        <v>510</v>
      </c>
      <c r="C75" s="51" t="s">
        <v>905</v>
      </c>
      <c r="D75" s="83">
        <v>17</v>
      </c>
      <c r="E75" s="83" t="s">
        <v>4489</v>
      </c>
      <c r="F75" s="51" t="s">
        <v>4639</v>
      </c>
      <c r="G75" s="51" t="s">
        <v>4579</v>
      </c>
    </row>
    <row r="76" spans="2:7" x14ac:dyDescent="0.15">
      <c r="B76" s="51" t="s">
        <v>4640</v>
      </c>
      <c r="C76" s="51" t="s">
        <v>379</v>
      </c>
      <c r="D76" s="83">
        <v>4</v>
      </c>
      <c r="E76" s="83" t="s">
        <v>4489</v>
      </c>
      <c r="F76" s="51" t="s">
        <v>4641</v>
      </c>
      <c r="G76" s="51" t="s">
        <v>4579</v>
      </c>
    </row>
    <row r="78" spans="2:7" x14ac:dyDescent="0.15">
      <c r="B78" s="51" t="s">
        <v>698</v>
      </c>
      <c r="C78" s="51" t="s">
        <v>309</v>
      </c>
      <c r="D78" s="83" t="s">
        <v>4642</v>
      </c>
      <c r="E78" s="83" t="s">
        <v>4498</v>
      </c>
      <c r="F78" s="51" t="s">
        <v>4643</v>
      </c>
      <c r="G78" s="51" t="s">
        <v>4644</v>
      </c>
    </row>
    <row r="79" spans="2:7" x14ac:dyDescent="0.15">
      <c r="B79" s="51" t="s">
        <v>698</v>
      </c>
      <c r="C79" s="51" t="s">
        <v>309</v>
      </c>
      <c r="D79" s="83" t="s">
        <v>4645</v>
      </c>
      <c r="E79" s="83" t="s">
        <v>4498</v>
      </c>
      <c r="F79" s="51" t="s">
        <v>4646</v>
      </c>
      <c r="G79" s="51" t="s">
        <v>4644</v>
      </c>
    </row>
    <row r="80" spans="2:7" x14ac:dyDescent="0.15">
      <c r="B80" s="51" t="s">
        <v>607</v>
      </c>
      <c r="C80" s="51" t="s">
        <v>309</v>
      </c>
      <c r="D80" s="83" t="s">
        <v>4528</v>
      </c>
      <c r="E80" s="83" t="s">
        <v>4489</v>
      </c>
      <c r="F80" s="51" t="s">
        <v>4647</v>
      </c>
      <c r="G80" s="51" t="s">
        <v>4648</v>
      </c>
    </row>
    <row r="81" spans="1:10" x14ac:dyDescent="0.15">
      <c r="B81" s="51" t="s">
        <v>699</v>
      </c>
      <c r="C81" s="51" t="s">
        <v>374</v>
      </c>
      <c r="D81" s="83" t="s">
        <v>4649</v>
      </c>
      <c r="E81" s="83" t="s">
        <v>4489</v>
      </c>
      <c r="F81" s="51" t="s">
        <v>4650</v>
      </c>
      <c r="G81" s="51" t="s">
        <v>4651</v>
      </c>
    </row>
    <row r="82" spans="1:10" x14ac:dyDescent="0.15">
      <c r="B82" s="51" t="s">
        <v>535</v>
      </c>
      <c r="C82" s="51" t="s">
        <v>106</v>
      </c>
      <c r="D82" s="83">
        <v>44</v>
      </c>
      <c r="E82" s="83" t="s">
        <v>4652</v>
      </c>
      <c r="F82" s="51" t="s">
        <v>4653</v>
      </c>
      <c r="G82" s="51" t="s">
        <v>4579</v>
      </c>
    </row>
    <row r="83" spans="1:10" x14ac:dyDescent="0.15">
      <c r="B83" s="51" t="s">
        <v>535</v>
      </c>
      <c r="C83" s="51" t="s">
        <v>106</v>
      </c>
      <c r="D83" s="83" t="s">
        <v>4654</v>
      </c>
      <c r="E83" s="83" t="s">
        <v>4498</v>
      </c>
      <c r="F83" s="51" t="s">
        <v>4655</v>
      </c>
      <c r="G83" s="51" t="s">
        <v>4656</v>
      </c>
    </row>
    <row r="84" spans="1:10" x14ac:dyDescent="0.15">
      <c r="B84" s="51" t="s">
        <v>535</v>
      </c>
      <c r="C84" s="51" t="s">
        <v>4657</v>
      </c>
      <c r="D84" s="83">
        <v>85</v>
      </c>
      <c r="E84" s="83" t="s">
        <v>4489</v>
      </c>
      <c r="F84" s="51" t="s">
        <v>4658</v>
      </c>
      <c r="G84" s="51" t="s">
        <v>4659</v>
      </c>
    </row>
    <row r="85" spans="1:10" x14ac:dyDescent="0.15">
      <c r="B85" s="51" t="s">
        <v>535</v>
      </c>
      <c r="C85" s="51" t="s">
        <v>905</v>
      </c>
      <c r="D85" s="83">
        <v>107</v>
      </c>
      <c r="E85" s="83" t="s">
        <v>4489</v>
      </c>
      <c r="F85" s="51" t="s">
        <v>4660</v>
      </c>
      <c r="G85" s="51" t="s">
        <v>4579</v>
      </c>
    </row>
    <row r="86" spans="1:10" x14ac:dyDescent="0.15">
      <c r="B86" s="51" t="s">
        <v>535</v>
      </c>
      <c r="C86" s="51" t="s">
        <v>907</v>
      </c>
      <c r="D86" s="83" t="s">
        <v>4661</v>
      </c>
      <c r="E86" s="83" t="s">
        <v>4498</v>
      </c>
      <c r="F86" s="54" t="s">
        <v>4662</v>
      </c>
      <c r="G86" s="51" t="s">
        <v>4663</v>
      </c>
      <c r="I86" s="54" t="s">
        <v>4664</v>
      </c>
      <c r="J86" s="54"/>
    </row>
    <row r="87" spans="1:10" x14ac:dyDescent="0.15">
      <c r="B87" s="51" t="s">
        <v>535</v>
      </c>
      <c r="C87" s="51" t="s">
        <v>907</v>
      </c>
      <c r="D87" s="83" t="s">
        <v>4665</v>
      </c>
      <c r="E87" s="83" t="s">
        <v>4498</v>
      </c>
      <c r="F87" s="54" t="s">
        <v>4666</v>
      </c>
      <c r="G87" s="51" t="s">
        <v>4663</v>
      </c>
      <c r="I87" s="54" t="s">
        <v>4667</v>
      </c>
      <c r="J87" s="54"/>
    </row>
    <row r="88" spans="1:10" x14ac:dyDescent="0.15">
      <c r="B88" s="51" t="s">
        <v>487</v>
      </c>
      <c r="C88" s="51" t="s">
        <v>374</v>
      </c>
      <c r="D88" s="83" t="s">
        <v>4668</v>
      </c>
      <c r="E88" s="83" t="s">
        <v>4489</v>
      </c>
      <c r="F88" s="51" t="s">
        <v>4669</v>
      </c>
      <c r="G88" s="51" t="s">
        <v>4670</v>
      </c>
    </row>
    <row r="89" spans="1:10" x14ac:dyDescent="0.15">
      <c r="B89" s="51" t="s">
        <v>472</v>
      </c>
      <c r="C89" s="51" t="s">
        <v>106</v>
      </c>
      <c r="D89" s="83" t="s">
        <v>5165</v>
      </c>
      <c r="E89" s="83" t="s">
        <v>4489</v>
      </c>
      <c r="F89" s="51" t="s">
        <v>5166</v>
      </c>
      <c r="G89" s="51" t="s">
        <v>5167</v>
      </c>
    </row>
    <row r="90" spans="1:10" x14ac:dyDescent="0.15">
      <c r="B90" s="51" t="s">
        <v>472</v>
      </c>
      <c r="C90" s="51" t="s">
        <v>905</v>
      </c>
      <c r="D90" s="83">
        <v>7</v>
      </c>
      <c r="E90" s="83" t="s">
        <v>4489</v>
      </c>
      <c r="F90" s="51" t="s">
        <v>4671</v>
      </c>
      <c r="G90" s="51" t="s">
        <v>4672</v>
      </c>
    </row>
    <row r="91" spans="1:10" x14ac:dyDescent="0.15">
      <c r="B91" s="51" t="s">
        <v>498</v>
      </c>
      <c r="C91" s="51" t="s">
        <v>4673</v>
      </c>
      <c r="D91" s="83">
        <v>7</v>
      </c>
      <c r="E91" s="83" t="s">
        <v>4498</v>
      </c>
      <c r="F91" s="51" t="s">
        <v>4674</v>
      </c>
      <c r="G91" s="51" t="s">
        <v>4675</v>
      </c>
    </row>
    <row r="92" spans="1:10" ht="16" x14ac:dyDescent="0.2">
      <c r="A92" s="84"/>
      <c r="B92" s="84" t="s">
        <v>498</v>
      </c>
      <c r="C92" s="84" t="s">
        <v>2229</v>
      </c>
      <c r="D92" s="85">
        <v>256</v>
      </c>
      <c r="E92" s="85" t="s">
        <v>4498</v>
      </c>
      <c r="F92" s="51" t="s">
        <v>4676</v>
      </c>
      <c r="G92" s="84" t="s">
        <v>4677</v>
      </c>
      <c r="H92" s="84"/>
      <c r="I92" s="84" t="s">
        <v>4678</v>
      </c>
      <c r="J92" s="84"/>
    </row>
    <row r="93" spans="1:10" x14ac:dyDescent="0.15">
      <c r="B93" s="51" t="s">
        <v>703</v>
      </c>
      <c r="C93" s="51" t="s">
        <v>905</v>
      </c>
      <c r="D93" s="83">
        <v>20</v>
      </c>
      <c r="E93" s="83" t="s">
        <v>4489</v>
      </c>
      <c r="F93" s="51" t="s">
        <v>4679</v>
      </c>
      <c r="G93" s="51" t="s">
        <v>4579</v>
      </c>
    </row>
    <row r="94" spans="1:10" x14ac:dyDescent="0.15">
      <c r="B94" s="51" t="s">
        <v>703</v>
      </c>
      <c r="C94" s="51" t="s">
        <v>77</v>
      </c>
      <c r="D94" s="83">
        <v>76</v>
      </c>
      <c r="E94" s="83" t="s">
        <v>4489</v>
      </c>
      <c r="F94" s="51" t="s">
        <v>4680</v>
      </c>
      <c r="G94" s="51" t="s">
        <v>4659</v>
      </c>
    </row>
    <row r="95" spans="1:10" x14ac:dyDescent="0.15">
      <c r="B95" s="51" t="s">
        <v>703</v>
      </c>
      <c r="C95" s="51" t="s">
        <v>905</v>
      </c>
      <c r="D95" s="83" t="s">
        <v>4681</v>
      </c>
      <c r="E95" s="83" t="s">
        <v>4498</v>
      </c>
      <c r="F95" s="51" t="s">
        <v>4682</v>
      </c>
      <c r="G95" s="51" t="s">
        <v>906</v>
      </c>
    </row>
    <row r="96" spans="1:10" x14ac:dyDescent="0.15">
      <c r="B96" s="51" t="s">
        <v>703</v>
      </c>
      <c r="C96" s="51" t="s">
        <v>905</v>
      </c>
      <c r="D96" s="83" t="s">
        <v>4683</v>
      </c>
      <c r="E96" s="83" t="s">
        <v>4498</v>
      </c>
      <c r="F96" s="51" t="s">
        <v>4684</v>
      </c>
      <c r="G96" s="51" t="s">
        <v>906</v>
      </c>
    </row>
    <row r="97" spans="2:7" x14ac:dyDescent="0.15">
      <c r="B97" s="51" t="s">
        <v>705</v>
      </c>
      <c r="C97" s="51" t="s">
        <v>374</v>
      </c>
      <c r="D97" s="83" t="s">
        <v>4685</v>
      </c>
      <c r="E97" s="83" t="s">
        <v>4489</v>
      </c>
      <c r="F97" s="51" t="s">
        <v>4686</v>
      </c>
      <c r="G97" s="51" t="s">
        <v>4687</v>
      </c>
    </row>
    <row r="98" spans="2:7" x14ac:dyDescent="0.15">
      <c r="B98" s="51" t="s">
        <v>542</v>
      </c>
      <c r="C98" s="51" t="s">
        <v>907</v>
      </c>
      <c r="D98" s="83" t="s">
        <v>4688</v>
      </c>
      <c r="E98" s="83" t="s">
        <v>4498</v>
      </c>
      <c r="F98" s="51" t="s">
        <v>4689</v>
      </c>
      <c r="G98" s="51" t="s">
        <v>4690</v>
      </c>
    </row>
    <row r="99" spans="2:7" x14ac:dyDescent="0.15">
      <c r="B99" s="51" t="s">
        <v>542</v>
      </c>
      <c r="C99" s="51" t="s">
        <v>330</v>
      </c>
      <c r="D99" s="83" t="s">
        <v>4691</v>
      </c>
      <c r="E99" s="83" t="s">
        <v>4489</v>
      </c>
      <c r="F99" s="51" t="s">
        <v>4692</v>
      </c>
      <c r="G99" s="51" t="s">
        <v>4693</v>
      </c>
    </row>
    <row r="100" spans="2:7" x14ac:dyDescent="0.15">
      <c r="B100" s="51" t="s">
        <v>543</v>
      </c>
      <c r="C100" s="51" t="s">
        <v>181</v>
      </c>
      <c r="D100" s="83">
        <v>18</v>
      </c>
      <c r="E100" s="83" t="s">
        <v>4489</v>
      </c>
      <c r="F100" s="51" t="s">
        <v>4694</v>
      </c>
      <c r="G100" s="51" t="s">
        <v>4695</v>
      </c>
    </row>
    <row r="101" spans="2:7" x14ac:dyDescent="0.15">
      <c r="B101" s="51" t="s">
        <v>544</v>
      </c>
      <c r="C101" s="51" t="s">
        <v>905</v>
      </c>
      <c r="D101" s="83" t="s">
        <v>4696</v>
      </c>
      <c r="E101" s="83" t="s">
        <v>4498</v>
      </c>
      <c r="F101" s="51" t="s">
        <v>4697</v>
      </c>
      <c r="G101" s="51" t="s">
        <v>909</v>
      </c>
    </row>
    <row r="102" spans="2:7" x14ac:dyDescent="0.15">
      <c r="B102" s="51" t="s">
        <v>715</v>
      </c>
      <c r="C102" s="51" t="s">
        <v>374</v>
      </c>
      <c r="D102" s="83" t="s">
        <v>4698</v>
      </c>
      <c r="E102" s="83" t="s">
        <v>4498</v>
      </c>
      <c r="F102" s="51" t="s">
        <v>4699</v>
      </c>
      <c r="G102" s="51" t="s">
        <v>4700</v>
      </c>
    </row>
    <row r="103" spans="2:7" x14ac:dyDescent="0.15">
      <c r="B103" s="51" t="s">
        <v>717</v>
      </c>
      <c r="C103" s="51" t="s">
        <v>106</v>
      </c>
      <c r="D103" s="83">
        <v>28</v>
      </c>
      <c r="E103" s="83" t="s">
        <v>4489</v>
      </c>
      <c r="F103" s="51" t="s">
        <v>4701</v>
      </c>
      <c r="G103" s="51" t="s">
        <v>4579</v>
      </c>
    </row>
    <row r="104" spans="2:7" x14ac:dyDescent="0.15">
      <c r="B104" s="51" t="s">
        <v>717</v>
      </c>
      <c r="C104" s="51" t="s">
        <v>106</v>
      </c>
      <c r="D104" s="83">
        <v>1505</v>
      </c>
      <c r="E104" s="83" t="s">
        <v>4498</v>
      </c>
      <c r="F104" s="51" t="s">
        <v>4702</v>
      </c>
      <c r="G104" s="51" t="s">
        <v>613</v>
      </c>
    </row>
    <row r="105" spans="2:7" x14ac:dyDescent="0.15">
      <c r="B105" s="51" t="s">
        <v>896</v>
      </c>
      <c r="C105" s="51" t="s">
        <v>908</v>
      </c>
      <c r="D105" s="83">
        <v>8</v>
      </c>
      <c r="E105" s="83" t="s">
        <v>4489</v>
      </c>
      <c r="F105" s="51" t="s">
        <v>4703</v>
      </c>
      <c r="G105" s="51" t="s">
        <v>4579</v>
      </c>
    </row>
    <row r="106" spans="2:7" x14ac:dyDescent="0.15">
      <c r="B106" s="51" t="s">
        <v>896</v>
      </c>
      <c r="C106" s="51" t="s">
        <v>905</v>
      </c>
      <c r="D106" s="83" t="s">
        <v>4704</v>
      </c>
      <c r="E106" s="83" t="s">
        <v>4498</v>
      </c>
      <c r="F106" s="51" t="s">
        <v>4705</v>
      </c>
      <c r="G106" s="51" t="s">
        <v>4706</v>
      </c>
    </row>
    <row r="107" spans="2:7" x14ac:dyDescent="0.15">
      <c r="B107" s="51" t="s">
        <v>896</v>
      </c>
      <c r="C107" s="51" t="s">
        <v>905</v>
      </c>
      <c r="D107" s="83" t="s">
        <v>4707</v>
      </c>
      <c r="E107" s="83" t="s">
        <v>4498</v>
      </c>
      <c r="F107" s="51" t="s">
        <v>4708</v>
      </c>
      <c r="G107" s="51" t="s">
        <v>4706</v>
      </c>
    </row>
    <row r="108" spans="2:7" x14ac:dyDescent="0.15">
      <c r="B108" s="51" t="s">
        <v>896</v>
      </c>
      <c r="C108" s="51" t="s">
        <v>260</v>
      </c>
      <c r="D108" s="83" t="s">
        <v>4566</v>
      </c>
      <c r="E108" s="83" t="s">
        <v>4498</v>
      </c>
      <c r="F108" s="51" t="s">
        <v>4709</v>
      </c>
      <c r="G108" s="51" t="s">
        <v>909</v>
      </c>
    </row>
    <row r="109" spans="2:7" x14ac:dyDescent="0.15">
      <c r="B109" s="51" t="s">
        <v>896</v>
      </c>
      <c r="C109" s="51" t="s">
        <v>4710</v>
      </c>
      <c r="D109" s="83">
        <v>26</v>
      </c>
      <c r="E109" s="83" t="s">
        <v>4498</v>
      </c>
      <c r="F109" s="51" t="s">
        <v>4711</v>
      </c>
      <c r="G109" s="51" t="s">
        <v>4675</v>
      </c>
    </row>
    <row r="111" spans="2:7" x14ac:dyDescent="0.15">
      <c r="B111" s="51" t="s">
        <v>724</v>
      </c>
      <c r="C111" s="51" t="s">
        <v>203</v>
      </c>
      <c r="D111" s="83" t="s">
        <v>4712</v>
      </c>
      <c r="E111" s="83" t="s">
        <v>4506</v>
      </c>
      <c r="F111" s="51" t="s">
        <v>4713</v>
      </c>
      <c r="G111" s="51" t="s">
        <v>4714</v>
      </c>
    </row>
    <row r="112" spans="2:7" x14ac:dyDescent="0.15">
      <c r="B112" s="51" t="s">
        <v>724</v>
      </c>
      <c r="C112" s="51" t="s">
        <v>203</v>
      </c>
      <c r="D112" s="83" t="s">
        <v>4715</v>
      </c>
      <c r="E112" s="83" t="s">
        <v>4506</v>
      </c>
      <c r="F112" s="51" t="s">
        <v>4716</v>
      </c>
      <c r="G112" s="51" t="s">
        <v>4714</v>
      </c>
    </row>
    <row r="113" spans="2:9" x14ac:dyDescent="0.15">
      <c r="B113" s="51" t="s">
        <v>578</v>
      </c>
      <c r="C113" s="51" t="s">
        <v>204</v>
      </c>
      <c r="D113" s="83" t="s">
        <v>4717</v>
      </c>
      <c r="E113" s="83" t="s">
        <v>4718</v>
      </c>
      <c r="F113" s="51" t="s">
        <v>4719</v>
      </c>
      <c r="G113" s="51" t="s">
        <v>4720</v>
      </c>
    </row>
    <row r="114" spans="2:9" x14ac:dyDescent="0.15">
      <c r="B114" s="51" t="s">
        <v>494</v>
      </c>
      <c r="C114" s="51" t="s">
        <v>4721</v>
      </c>
      <c r="D114" s="83" t="s">
        <v>4696</v>
      </c>
      <c r="E114" s="83" t="s">
        <v>4489</v>
      </c>
      <c r="F114" s="51" t="s">
        <v>4722</v>
      </c>
      <c r="G114" s="51" t="s">
        <v>4723</v>
      </c>
    </row>
    <row r="115" spans="2:9" x14ac:dyDescent="0.15">
      <c r="B115" s="51" t="s">
        <v>494</v>
      </c>
      <c r="C115" s="51" t="s">
        <v>868</v>
      </c>
      <c r="D115" s="83" t="s">
        <v>4724</v>
      </c>
      <c r="E115" s="83" t="s">
        <v>4489</v>
      </c>
      <c r="F115" s="51" t="s">
        <v>4725</v>
      </c>
      <c r="G115" s="51" t="s">
        <v>4726</v>
      </c>
    </row>
    <row r="116" spans="2:9" x14ac:dyDescent="0.15">
      <c r="B116" s="51" t="s">
        <v>731</v>
      </c>
      <c r="C116" s="51" t="s">
        <v>209</v>
      </c>
      <c r="D116" s="83" t="s">
        <v>4727</v>
      </c>
      <c r="E116" s="83" t="s">
        <v>4498</v>
      </c>
      <c r="F116" s="51" t="s">
        <v>4728</v>
      </c>
      <c r="G116" s="51" t="s">
        <v>4729</v>
      </c>
    </row>
    <row r="117" spans="2:9" x14ac:dyDescent="0.15">
      <c r="B117" s="51" t="s">
        <v>581</v>
      </c>
      <c r="C117" s="51" t="s">
        <v>209</v>
      </c>
      <c r="D117" s="83" t="s">
        <v>4730</v>
      </c>
      <c r="E117" s="83" t="s">
        <v>4498</v>
      </c>
      <c r="F117" s="51" t="s">
        <v>4731</v>
      </c>
      <c r="G117" s="51" t="s">
        <v>4729</v>
      </c>
    </row>
    <row r="118" spans="2:9" x14ac:dyDescent="0.15">
      <c r="B118" s="51" t="s">
        <v>506</v>
      </c>
      <c r="C118" s="51" t="s">
        <v>374</v>
      </c>
      <c r="D118" s="83" t="s">
        <v>4732</v>
      </c>
      <c r="E118" s="83" t="s">
        <v>4498</v>
      </c>
      <c r="F118" s="54" t="s">
        <v>4733</v>
      </c>
      <c r="G118" s="54" t="s">
        <v>4734</v>
      </c>
      <c r="H118" s="54"/>
      <c r="I118" s="54" t="s">
        <v>4735</v>
      </c>
    </row>
    <row r="119" spans="2:9" x14ac:dyDescent="0.15">
      <c r="B119" s="51" t="s">
        <v>506</v>
      </c>
      <c r="C119" s="51" t="s">
        <v>4736</v>
      </c>
      <c r="D119" s="83">
        <v>10</v>
      </c>
      <c r="E119" s="83" t="s">
        <v>4498</v>
      </c>
      <c r="F119" s="51" t="s">
        <v>4737</v>
      </c>
      <c r="G119" s="51" t="s">
        <v>4738</v>
      </c>
    </row>
    <row r="120" spans="2:9" x14ac:dyDescent="0.15">
      <c r="B120" s="51" t="s">
        <v>506</v>
      </c>
      <c r="C120" s="51" t="s">
        <v>910</v>
      </c>
      <c r="D120" s="83">
        <v>8</v>
      </c>
      <c r="E120" s="83" t="s">
        <v>4489</v>
      </c>
      <c r="F120" s="51" t="s">
        <v>4739</v>
      </c>
      <c r="G120" s="51" t="s">
        <v>4740</v>
      </c>
    </row>
    <row r="121" spans="2:9" x14ac:dyDescent="0.15">
      <c r="B121" s="51" t="s">
        <v>746</v>
      </c>
      <c r="C121" s="51" t="s">
        <v>4721</v>
      </c>
      <c r="D121" s="83" t="s">
        <v>4741</v>
      </c>
      <c r="E121" s="83" t="s">
        <v>4489</v>
      </c>
      <c r="F121" s="51" t="s">
        <v>4742</v>
      </c>
      <c r="G121" s="51" t="s">
        <v>4723</v>
      </c>
    </row>
    <row r="122" spans="2:9" x14ac:dyDescent="0.15">
      <c r="B122" s="51" t="s">
        <v>561</v>
      </c>
      <c r="C122" s="51" t="s">
        <v>215</v>
      </c>
      <c r="D122" s="83" t="s">
        <v>4743</v>
      </c>
      <c r="E122" s="83" t="s">
        <v>4498</v>
      </c>
      <c r="F122" s="51" t="s">
        <v>4744</v>
      </c>
      <c r="G122" s="51" t="s">
        <v>4745</v>
      </c>
    </row>
    <row r="123" spans="2:9" x14ac:dyDescent="0.15">
      <c r="B123" s="51" t="s">
        <v>561</v>
      </c>
      <c r="C123" s="51" t="s">
        <v>215</v>
      </c>
      <c r="D123" s="83" t="s">
        <v>4746</v>
      </c>
      <c r="E123" s="83" t="s">
        <v>4498</v>
      </c>
      <c r="F123" s="51" t="s">
        <v>4747</v>
      </c>
      <c r="G123" s="51" t="s">
        <v>4745</v>
      </c>
    </row>
    <row r="124" spans="2:9" x14ac:dyDescent="0.15">
      <c r="B124" s="51" t="s">
        <v>561</v>
      </c>
      <c r="C124" s="51" t="s">
        <v>911</v>
      </c>
      <c r="D124" s="83" t="s">
        <v>4748</v>
      </c>
      <c r="E124" s="83" t="s">
        <v>4489</v>
      </c>
      <c r="F124" s="51" t="s">
        <v>4749</v>
      </c>
      <c r="G124" s="51" t="s">
        <v>4750</v>
      </c>
    </row>
    <row r="125" spans="2:9" x14ac:dyDescent="0.15">
      <c r="B125" s="51" t="s">
        <v>561</v>
      </c>
      <c r="C125" s="51" t="s">
        <v>911</v>
      </c>
      <c r="D125" s="83" t="s">
        <v>4751</v>
      </c>
      <c r="E125" s="83" t="s">
        <v>4489</v>
      </c>
      <c r="F125" s="51" t="s">
        <v>4752</v>
      </c>
      <c r="G125" s="51" t="s">
        <v>4750</v>
      </c>
    </row>
    <row r="126" spans="2:9" x14ac:dyDescent="0.15">
      <c r="B126" s="51" t="s">
        <v>499</v>
      </c>
      <c r="C126" s="51" t="s">
        <v>4753</v>
      </c>
      <c r="D126" s="83">
        <v>358</v>
      </c>
      <c r="E126" s="83" t="s">
        <v>4498</v>
      </c>
      <c r="F126" s="51" t="s">
        <v>4754</v>
      </c>
      <c r="G126" s="51" t="s">
        <v>4755</v>
      </c>
    </row>
    <row r="127" spans="2:9" x14ac:dyDescent="0.15">
      <c r="B127" s="51" t="s">
        <v>589</v>
      </c>
      <c r="C127" s="51" t="s">
        <v>204</v>
      </c>
      <c r="D127" s="83" t="s">
        <v>4756</v>
      </c>
      <c r="E127" s="83" t="s">
        <v>4498</v>
      </c>
      <c r="F127" s="51" t="s">
        <v>4757</v>
      </c>
      <c r="G127" s="51" t="s">
        <v>4758</v>
      </c>
    </row>
    <row r="128" spans="2:9" x14ac:dyDescent="0.15">
      <c r="B128" s="51" t="s">
        <v>589</v>
      </c>
      <c r="C128" s="51" t="s">
        <v>204</v>
      </c>
      <c r="D128" s="83" t="s">
        <v>4759</v>
      </c>
      <c r="E128" s="83" t="s">
        <v>4498</v>
      </c>
      <c r="F128" s="51" t="s">
        <v>4760</v>
      </c>
      <c r="G128" s="51" t="s">
        <v>4758</v>
      </c>
    </row>
    <row r="129" spans="2:10" x14ac:dyDescent="0.15">
      <c r="B129" s="51" t="s">
        <v>590</v>
      </c>
      <c r="C129" s="51" t="s">
        <v>912</v>
      </c>
      <c r="D129" s="83">
        <v>8</v>
      </c>
      <c r="E129" s="83" t="s">
        <v>4489</v>
      </c>
      <c r="F129" s="51" t="s">
        <v>4761</v>
      </c>
      <c r="G129" s="51" t="s">
        <v>913</v>
      </c>
    </row>
    <row r="130" spans="2:10" x14ac:dyDescent="0.15">
      <c r="B130" s="51" t="s">
        <v>590</v>
      </c>
      <c r="C130" s="51" t="s">
        <v>374</v>
      </c>
      <c r="D130" s="83" t="s">
        <v>4762</v>
      </c>
      <c r="E130" s="83" t="s">
        <v>4489</v>
      </c>
      <c r="F130" s="51" t="s">
        <v>4763</v>
      </c>
      <c r="G130" s="51" t="s">
        <v>4723</v>
      </c>
    </row>
    <row r="131" spans="2:10" x14ac:dyDescent="0.15">
      <c r="B131" s="51" t="s">
        <v>590</v>
      </c>
      <c r="C131" s="51" t="s">
        <v>4764</v>
      </c>
      <c r="D131" s="83" t="s">
        <v>4765</v>
      </c>
      <c r="E131" s="83" t="s">
        <v>4489</v>
      </c>
      <c r="F131" s="51" t="s">
        <v>4766</v>
      </c>
      <c r="G131" s="51" t="s">
        <v>4720</v>
      </c>
    </row>
    <row r="132" spans="2:10" x14ac:dyDescent="0.15">
      <c r="B132" s="51" t="s">
        <v>762</v>
      </c>
      <c r="C132" s="51" t="s">
        <v>200</v>
      </c>
      <c r="D132" s="83" t="s">
        <v>4538</v>
      </c>
      <c r="E132" s="83" t="s">
        <v>4489</v>
      </c>
      <c r="F132" s="51" t="s">
        <v>4767</v>
      </c>
      <c r="G132" s="51" t="s">
        <v>4768</v>
      </c>
    </row>
    <row r="133" spans="2:10" x14ac:dyDescent="0.15">
      <c r="B133" s="51" t="s">
        <v>765</v>
      </c>
      <c r="C133" s="51" t="s">
        <v>219</v>
      </c>
      <c r="D133" s="83" t="s">
        <v>4769</v>
      </c>
      <c r="E133" s="83" t="s">
        <v>4498</v>
      </c>
      <c r="F133" s="51" t="s">
        <v>4770</v>
      </c>
      <c r="G133" s="51" t="s">
        <v>4771</v>
      </c>
    </row>
    <row r="135" spans="2:10" x14ac:dyDescent="0.15">
      <c r="B135" s="51" t="s">
        <v>390</v>
      </c>
      <c r="C135" s="51" t="s">
        <v>209</v>
      </c>
      <c r="D135" s="83" t="s">
        <v>4772</v>
      </c>
      <c r="E135" s="83" t="s">
        <v>4498</v>
      </c>
      <c r="F135" s="51" t="s">
        <v>4773</v>
      </c>
      <c r="G135" s="51" t="s">
        <v>4774</v>
      </c>
    </row>
    <row r="137" spans="2:10" x14ac:dyDescent="0.15">
      <c r="B137" s="51" t="s">
        <v>456</v>
      </c>
      <c r="C137" s="51" t="s">
        <v>69</v>
      </c>
      <c r="D137" s="83" t="s">
        <v>4775</v>
      </c>
      <c r="E137" s="83" t="s">
        <v>4489</v>
      </c>
      <c r="F137" s="54" t="s">
        <v>4776</v>
      </c>
      <c r="G137" s="51" t="s">
        <v>4777</v>
      </c>
      <c r="I137" s="54" t="s">
        <v>4778</v>
      </c>
      <c r="J137" s="54"/>
    </row>
    <row r="138" spans="2:10" x14ac:dyDescent="0.15">
      <c r="B138" s="51" t="s">
        <v>477</v>
      </c>
      <c r="C138" s="51" t="s">
        <v>371</v>
      </c>
      <c r="D138" s="83">
        <v>37</v>
      </c>
      <c r="E138" s="83" t="s">
        <v>4489</v>
      </c>
      <c r="F138" s="51" t="s">
        <v>4779</v>
      </c>
      <c r="G138" s="51" t="s">
        <v>4780</v>
      </c>
    </row>
    <row r="139" spans="2:10" x14ac:dyDescent="0.15">
      <c r="B139" s="51" t="s">
        <v>477</v>
      </c>
      <c r="C139" s="51" t="s">
        <v>106</v>
      </c>
      <c r="D139" s="83">
        <v>145</v>
      </c>
      <c r="E139" s="83" t="s">
        <v>4498</v>
      </c>
      <c r="F139" s="51" t="s">
        <v>4781</v>
      </c>
      <c r="G139" s="51" t="s">
        <v>613</v>
      </c>
    </row>
    <row r="140" spans="2:10" x14ac:dyDescent="0.15">
      <c r="B140" s="51" t="s">
        <v>477</v>
      </c>
      <c r="C140" s="51" t="s">
        <v>905</v>
      </c>
      <c r="D140" s="83" t="s">
        <v>4782</v>
      </c>
      <c r="E140" s="83" t="s">
        <v>4498</v>
      </c>
      <c r="F140" s="51" t="s">
        <v>4783</v>
      </c>
      <c r="G140" s="51" t="s">
        <v>613</v>
      </c>
    </row>
    <row r="141" spans="2:10" x14ac:dyDescent="0.15">
      <c r="B141" s="51" t="s">
        <v>403</v>
      </c>
      <c r="C141" s="51" t="s">
        <v>555</v>
      </c>
      <c r="D141" s="83" t="s">
        <v>4573</v>
      </c>
      <c r="E141" s="83" t="s">
        <v>4489</v>
      </c>
      <c r="F141" s="51" t="s">
        <v>4784</v>
      </c>
      <c r="G141" s="51" t="s">
        <v>4785</v>
      </c>
    </row>
    <row r="142" spans="2:10" x14ac:dyDescent="0.15">
      <c r="B142" s="51" t="s">
        <v>824</v>
      </c>
      <c r="C142" s="51" t="s">
        <v>912</v>
      </c>
      <c r="D142" s="83">
        <v>6</v>
      </c>
      <c r="E142" s="83" t="s">
        <v>4489</v>
      </c>
      <c r="F142" s="51" t="s">
        <v>4786</v>
      </c>
      <c r="G142" s="51" t="s">
        <v>913</v>
      </c>
    </row>
    <row r="143" spans="2:10" x14ac:dyDescent="0.15">
      <c r="B143" s="51" t="s">
        <v>400</v>
      </c>
      <c r="C143" s="51" t="s">
        <v>204</v>
      </c>
      <c r="D143" s="83" t="s">
        <v>4787</v>
      </c>
      <c r="E143" s="83" t="s">
        <v>4489</v>
      </c>
      <c r="F143" s="51" t="s">
        <v>4788</v>
      </c>
      <c r="G143" s="51" t="s">
        <v>4720</v>
      </c>
    </row>
    <row r="144" spans="2:10" x14ac:dyDescent="0.15">
      <c r="B144" s="51" t="s">
        <v>457</v>
      </c>
      <c r="C144" s="51" t="s">
        <v>484</v>
      </c>
      <c r="D144" s="83">
        <v>9</v>
      </c>
      <c r="E144" s="83" t="s">
        <v>4489</v>
      </c>
      <c r="F144" s="51" t="s">
        <v>4789</v>
      </c>
      <c r="G144" s="51" t="s">
        <v>4790</v>
      </c>
    </row>
    <row r="146" spans="2:7" x14ac:dyDescent="0.15">
      <c r="B146" s="51" t="s">
        <v>627</v>
      </c>
      <c r="C146" s="51" t="s">
        <v>4791</v>
      </c>
      <c r="D146" s="83" t="s">
        <v>4792</v>
      </c>
      <c r="E146" s="83" t="s">
        <v>4489</v>
      </c>
      <c r="F146" s="51" t="s">
        <v>4793</v>
      </c>
      <c r="G146" s="51" t="s">
        <v>4794</v>
      </c>
    </row>
    <row r="147" spans="2:7" x14ac:dyDescent="0.15">
      <c r="B147" s="51" t="s">
        <v>627</v>
      </c>
      <c r="C147" s="51" t="s">
        <v>4791</v>
      </c>
      <c r="D147" s="83" t="s">
        <v>4795</v>
      </c>
      <c r="E147" s="83" t="s">
        <v>4489</v>
      </c>
      <c r="F147" s="51" t="s">
        <v>4796</v>
      </c>
      <c r="G147" s="51" t="s">
        <v>4794</v>
      </c>
    </row>
    <row r="148" spans="2:7" x14ac:dyDescent="0.15">
      <c r="B148" s="51" t="s">
        <v>803</v>
      </c>
      <c r="C148" s="51" t="s">
        <v>247</v>
      </c>
      <c r="D148" s="83">
        <v>11</v>
      </c>
      <c r="E148" s="83" t="s">
        <v>4498</v>
      </c>
      <c r="F148" s="51" t="s">
        <v>4797</v>
      </c>
      <c r="G148" s="51" t="s">
        <v>4798</v>
      </c>
    </row>
    <row r="149" spans="2:7" x14ac:dyDescent="0.15">
      <c r="B149" s="51" t="s">
        <v>4799</v>
      </c>
      <c r="C149" s="51" t="s">
        <v>374</v>
      </c>
      <c r="D149" s="83" t="s">
        <v>4800</v>
      </c>
      <c r="E149" s="83" t="s">
        <v>4498</v>
      </c>
      <c r="F149" s="51" t="s">
        <v>4801</v>
      </c>
      <c r="G149" s="51" t="s">
        <v>4802</v>
      </c>
    </row>
    <row r="150" spans="2:7" x14ac:dyDescent="0.15">
      <c r="B150" s="51" t="s">
        <v>4799</v>
      </c>
      <c r="C150" s="51" t="s">
        <v>94</v>
      </c>
      <c r="D150" s="83" t="s">
        <v>4803</v>
      </c>
      <c r="E150" s="83" t="s">
        <v>4489</v>
      </c>
      <c r="F150" s="51" t="s">
        <v>4804</v>
      </c>
      <c r="G150" s="51" t="s">
        <v>4805</v>
      </c>
    </row>
    <row r="151" spans="2:7" x14ac:dyDescent="0.15">
      <c r="B151" s="51" t="s">
        <v>631</v>
      </c>
      <c r="C151" s="51" t="s">
        <v>4806</v>
      </c>
      <c r="D151" s="83">
        <v>58</v>
      </c>
      <c r="E151" s="83" t="s">
        <v>4498</v>
      </c>
      <c r="F151" s="51" t="s">
        <v>4807</v>
      </c>
      <c r="G151" s="51" t="s">
        <v>4808</v>
      </c>
    </row>
    <row r="152" spans="2:7" x14ac:dyDescent="0.15">
      <c r="B152" s="51" t="s">
        <v>631</v>
      </c>
      <c r="C152" s="51" t="s">
        <v>302</v>
      </c>
      <c r="D152" s="83" t="s">
        <v>4809</v>
      </c>
      <c r="E152" s="83" t="s">
        <v>4498</v>
      </c>
      <c r="F152" s="51" t="s">
        <v>4810</v>
      </c>
      <c r="G152" s="51" t="s">
        <v>4811</v>
      </c>
    </row>
    <row r="153" spans="2:7" x14ac:dyDescent="0.15">
      <c r="B153" s="51" t="s">
        <v>4812</v>
      </c>
      <c r="C153" s="51" t="s">
        <v>304</v>
      </c>
      <c r="D153" s="83" t="s">
        <v>4813</v>
      </c>
      <c r="E153" s="83" t="s">
        <v>4498</v>
      </c>
      <c r="F153" s="51" t="s">
        <v>4814</v>
      </c>
      <c r="G153" s="51" t="s">
        <v>4815</v>
      </c>
    </row>
    <row r="154" spans="2:7" x14ac:dyDescent="0.15">
      <c r="B154" s="51" t="s">
        <v>4812</v>
      </c>
      <c r="C154" s="51" t="s">
        <v>304</v>
      </c>
      <c r="D154" s="83" t="s">
        <v>4816</v>
      </c>
      <c r="E154" s="83" t="s">
        <v>4498</v>
      </c>
      <c r="F154" s="51" t="s">
        <v>4817</v>
      </c>
      <c r="G154" s="51" t="s">
        <v>4815</v>
      </c>
    </row>
    <row r="155" spans="2:7" x14ac:dyDescent="0.15">
      <c r="B155" s="51" t="s">
        <v>398</v>
      </c>
      <c r="C155" s="51" t="s">
        <v>912</v>
      </c>
      <c r="D155" s="83">
        <v>8</v>
      </c>
      <c r="E155" s="83" t="s">
        <v>4489</v>
      </c>
      <c r="F155" s="51" t="s">
        <v>4818</v>
      </c>
      <c r="G155" s="51" t="s">
        <v>913</v>
      </c>
    </row>
    <row r="156" spans="2:7" x14ac:dyDescent="0.15">
      <c r="B156" s="51" t="s">
        <v>807</v>
      </c>
      <c r="C156" s="51" t="s">
        <v>309</v>
      </c>
      <c r="D156" s="83" t="s">
        <v>4819</v>
      </c>
      <c r="E156" s="83" t="s">
        <v>4489</v>
      </c>
      <c r="F156" s="51" t="s">
        <v>4820</v>
      </c>
      <c r="G156" s="51" t="s">
        <v>4821</v>
      </c>
    </row>
    <row r="157" spans="2:7" x14ac:dyDescent="0.15">
      <c r="B157" s="51" t="s">
        <v>808</v>
      </c>
      <c r="C157" s="51" t="s">
        <v>229</v>
      </c>
      <c r="D157" s="83" t="s">
        <v>4822</v>
      </c>
      <c r="E157" s="83" t="s">
        <v>4498</v>
      </c>
      <c r="F157" s="51" t="s">
        <v>4823</v>
      </c>
      <c r="G157" s="51" t="s">
        <v>4824</v>
      </c>
    </row>
    <row r="158" spans="2:7" x14ac:dyDescent="0.15">
      <c r="B158" s="51" t="s">
        <v>808</v>
      </c>
      <c r="C158" s="51" t="s">
        <v>229</v>
      </c>
      <c r="D158" s="83" t="s">
        <v>4825</v>
      </c>
      <c r="E158" s="83" t="s">
        <v>4498</v>
      </c>
      <c r="F158" s="51" t="s">
        <v>4826</v>
      </c>
      <c r="G158" s="51" t="s">
        <v>4824</v>
      </c>
    </row>
    <row r="159" spans="2:7" x14ac:dyDescent="0.15">
      <c r="B159" s="51" t="s">
        <v>808</v>
      </c>
      <c r="C159" s="51" t="s">
        <v>229</v>
      </c>
      <c r="D159" s="83" t="s">
        <v>4827</v>
      </c>
      <c r="E159" s="83" t="s">
        <v>4498</v>
      </c>
      <c r="F159" s="51" t="s">
        <v>4828</v>
      </c>
      <c r="G159" s="51" t="s">
        <v>4824</v>
      </c>
    </row>
    <row r="160" spans="2:7" x14ac:dyDescent="0.15">
      <c r="B160" s="51" t="s">
        <v>485</v>
      </c>
      <c r="C160" s="51" t="s">
        <v>69</v>
      </c>
      <c r="D160" s="83">
        <v>66</v>
      </c>
      <c r="E160" s="83" t="s">
        <v>4489</v>
      </c>
      <c r="F160" s="51" t="s">
        <v>4829</v>
      </c>
      <c r="G160" s="51" t="s">
        <v>4830</v>
      </c>
    </row>
    <row r="161" spans="2:10" x14ac:dyDescent="0.15">
      <c r="B161" s="51" t="s">
        <v>458</v>
      </c>
      <c r="C161" s="51" t="s">
        <v>593</v>
      </c>
      <c r="D161" s="83" t="s">
        <v>4831</v>
      </c>
      <c r="E161" s="83" t="s">
        <v>4489</v>
      </c>
      <c r="F161" s="51" t="s">
        <v>4832</v>
      </c>
      <c r="G161" s="51" t="s">
        <v>4833</v>
      </c>
    </row>
    <row r="162" spans="2:10" x14ac:dyDescent="0.15">
      <c r="B162" s="51" t="s">
        <v>638</v>
      </c>
      <c r="C162" s="51" t="s">
        <v>644</v>
      </c>
      <c r="D162" s="83">
        <v>60</v>
      </c>
      <c r="E162" s="83" t="s">
        <v>4498</v>
      </c>
      <c r="F162" s="51" t="s">
        <v>4834</v>
      </c>
      <c r="G162" s="51" t="s">
        <v>4835</v>
      </c>
    </row>
    <row r="163" spans="2:10" x14ac:dyDescent="0.15">
      <c r="B163" s="51" t="s">
        <v>642</v>
      </c>
      <c r="C163" s="51" t="s">
        <v>301</v>
      </c>
      <c r="D163" s="83" t="s">
        <v>4836</v>
      </c>
      <c r="E163" s="83" t="s">
        <v>4498</v>
      </c>
      <c r="F163" s="51" t="s">
        <v>4837</v>
      </c>
      <c r="G163" s="51" t="s">
        <v>4838</v>
      </c>
    </row>
    <row r="164" spans="2:10" x14ac:dyDescent="0.15">
      <c r="B164" s="51" t="s">
        <v>642</v>
      </c>
      <c r="C164" s="51" t="s">
        <v>301</v>
      </c>
      <c r="D164" s="83" t="s">
        <v>4528</v>
      </c>
      <c r="E164" s="83" t="s">
        <v>4498</v>
      </c>
      <c r="F164" s="51" t="s">
        <v>4839</v>
      </c>
      <c r="G164" s="51" t="s">
        <v>4838</v>
      </c>
    </row>
    <row r="165" spans="2:10" x14ac:dyDescent="0.15">
      <c r="B165" s="51" t="s">
        <v>4840</v>
      </c>
      <c r="C165" s="51" t="s">
        <v>644</v>
      </c>
      <c r="D165" s="83" t="s">
        <v>4841</v>
      </c>
      <c r="E165" s="83" t="s">
        <v>4498</v>
      </c>
      <c r="F165" s="51" t="s">
        <v>4842</v>
      </c>
      <c r="G165" s="51" t="s">
        <v>4835</v>
      </c>
    </row>
    <row r="166" spans="2:10" x14ac:dyDescent="0.15">
      <c r="B166" s="51" t="s">
        <v>4840</v>
      </c>
      <c r="C166" s="51" t="s">
        <v>644</v>
      </c>
      <c r="D166" s="83" t="s">
        <v>4843</v>
      </c>
      <c r="E166" s="83" t="s">
        <v>4498</v>
      </c>
      <c r="F166" s="51" t="s">
        <v>4844</v>
      </c>
      <c r="G166" s="51" t="s">
        <v>4835</v>
      </c>
    </row>
    <row r="167" spans="2:10" x14ac:dyDescent="0.15">
      <c r="B167" s="51" t="s">
        <v>4840</v>
      </c>
      <c r="C167" s="51" t="s">
        <v>644</v>
      </c>
      <c r="D167" s="83" t="s">
        <v>4845</v>
      </c>
      <c r="E167" s="83" t="s">
        <v>4498</v>
      </c>
      <c r="F167" s="51" t="s">
        <v>4846</v>
      </c>
      <c r="G167" s="51" t="s">
        <v>4835</v>
      </c>
    </row>
    <row r="168" spans="2:10" x14ac:dyDescent="0.15">
      <c r="B168" s="51" t="s">
        <v>4840</v>
      </c>
      <c r="C168" s="51" t="s">
        <v>644</v>
      </c>
      <c r="D168" s="83">
        <v>119</v>
      </c>
      <c r="E168" s="83" t="s">
        <v>4498</v>
      </c>
      <c r="F168" s="51" t="s">
        <v>4847</v>
      </c>
      <c r="G168" s="51" t="s">
        <v>4835</v>
      </c>
    </row>
    <row r="169" spans="2:10" x14ac:dyDescent="0.15">
      <c r="B169" s="51" t="s">
        <v>4848</v>
      </c>
      <c r="C169" s="51" t="s">
        <v>4849</v>
      </c>
      <c r="D169" s="83" t="s">
        <v>4850</v>
      </c>
      <c r="E169" s="83" t="s">
        <v>4489</v>
      </c>
      <c r="F169" s="51" t="s">
        <v>4851</v>
      </c>
      <c r="G169" s="51" t="s">
        <v>4852</v>
      </c>
    </row>
    <row r="170" spans="2:10" x14ac:dyDescent="0.15">
      <c r="B170" s="51" t="s">
        <v>394</v>
      </c>
      <c r="C170" s="51" t="s">
        <v>644</v>
      </c>
      <c r="D170" s="83">
        <v>141</v>
      </c>
      <c r="E170" s="83" t="s">
        <v>4498</v>
      </c>
      <c r="F170" s="86" t="s">
        <v>4853</v>
      </c>
      <c r="G170" s="51" t="s">
        <v>4854</v>
      </c>
      <c r="J170" s="86" t="s">
        <v>4855</v>
      </c>
    </row>
    <row r="171" spans="2:10" x14ac:dyDescent="0.15">
      <c r="B171" s="51" t="s">
        <v>394</v>
      </c>
      <c r="C171" s="51" t="s">
        <v>272</v>
      </c>
      <c r="D171" s="83">
        <v>48</v>
      </c>
      <c r="E171" s="83" t="s">
        <v>4498</v>
      </c>
      <c r="F171" s="86" t="s">
        <v>4856</v>
      </c>
      <c r="G171" s="51" t="s">
        <v>4857</v>
      </c>
      <c r="H171" s="86" t="s">
        <v>4858</v>
      </c>
      <c r="I171" s="86"/>
    </row>
    <row r="172" spans="2:10" x14ac:dyDescent="0.15">
      <c r="B172" s="51" t="s">
        <v>394</v>
      </c>
      <c r="C172" s="51" t="s">
        <v>4859</v>
      </c>
      <c r="D172" s="83">
        <v>6</v>
      </c>
      <c r="E172" s="83" t="s">
        <v>4498</v>
      </c>
      <c r="F172" s="51" t="s">
        <v>4860</v>
      </c>
      <c r="G172" s="51" t="s">
        <v>4861</v>
      </c>
    </row>
    <row r="173" spans="2:10" x14ac:dyDescent="0.15">
      <c r="B173" s="51" t="s">
        <v>394</v>
      </c>
      <c r="C173" s="51" t="s">
        <v>1928</v>
      </c>
      <c r="D173" s="83" t="s">
        <v>4531</v>
      </c>
      <c r="E173" s="83" t="s">
        <v>4489</v>
      </c>
      <c r="F173" s="51" t="s">
        <v>4862</v>
      </c>
      <c r="G173" s="51" t="s">
        <v>4863</v>
      </c>
    </row>
    <row r="174" spans="2:10" x14ac:dyDescent="0.15">
      <c r="B174" s="51" t="s">
        <v>496</v>
      </c>
      <c r="C174" s="51" t="s">
        <v>4864</v>
      </c>
      <c r="D174" s="83">
        <v>58</v>
      </c>
      <c r="E174" s="83" t="s">
        <v>4498</v>
      </c>
      <c r="F174" s="51" t="s">
        <v>4865</v>
      </c>
      <c r="G174" s="51" t="s">
        <v>4866</v>
      </c>
    </row>
    <row r="175" spans="2:10" x14ac:dyDescent="0.15">
      <c r="B175" s="51" t="s">
        <v>496</v>
      </c>
      <c r="C175" s="51" t="s">
        <v>4710</v>
      </c>
      <c r="D175" s="83">
        <v>28</v>
      </c>
      <c r="E175" s="83" t="s">
        <v>4498</v>
      </c>
      <c r="F175" s="51" t="s">
        <v>4867</v>
      </c>
      <c r="G175" s="51" t="s">
        <v>4675</v>
      </c>
    </row>
    <row r="176" spans="2:10" x14ac:dyDescent="0.15">
      <c r="B176" s="51" t="s">
        <v>496</v>
      </c>
      <c r="C176" s="51" t="s">
        <v>71</v>
      </c>
      <c r="D176" s="83" t="s">
        <v>4868</v>
      </c>
      <c r="E176" s="83" t="s">
        <v>4498</v>
      </c>
      <c r="F176" s="51" t="s">
        <v>4869</v>
      </c>
      <c r="G176" s="51" t="s">
        <v>4870</v>
      </c>
    </row>
    <row r="177" spans="2:7" x14ac:dyDescent="0.15">
      <c r="B177" s="51" t="s">
        <v>496</v>
      </c>
      <c r="C177" s="51" t="s">
        <v>71</v>
      </c>
      <c r="D177" s="83" t="s">
        <v>4871</v>
      </c>
      <c r="E177" s="83" t="s">
        <v>4498</v>
      </c>
      <c r="F177" s="51" t="s">
        <v>4872</v>
      </c>
      <c r="G177" s="51" t="s">
        <v>4870</v>
      </c>
    </row>
    <row r="178" spans="2:7" x14ac:dyDescent="0.15">
      <c r="B178" s="51" t="s">
        <v>496</v>
      </c>
      <c r="C178" s="51" t="s">
        <v>4873</v>
      </c>
      <c r="D178" s="83">
        <v>243</v>
      </c>
      <c r="E178" s="83" t="s">
        <v>4498</v>
      </c>
      <c r="F178" s="51" t="s">
        <v>4874</v>
      </c>
      <c r="G178" s="51" t="s">
        <v>4875</v>
      </c>
    </row>
    <row r="179" spans="2:7" x14ac:dyDescent="0.15">
      <c r="B179" s="51" t="s">
        <v>443</v>
      </c>
      <c r="C179" s="51" t="s">
        <v>4710</v>
      </c>
      <c r="D179" s="83">
        <v>9</v>
      </c>
      <c r="E179" s="83" t="s">
        <v>4498</v>
      </c>
      <c r="F179" s="51" t="s">
        <v>4876</v>
      </c>
      <c r="G179" s="51" t="s">
        <v>4675</v>
      </c>
    </row>
    <row r="180" spans="2:7" x14ac:dyDescent="0.15">
      <c r="B180" s="51" t="s">
        <v>443</v>
      </c>
      <c r="C180" s="51" t="s">
        <v>70</v>
      </c>
      <c r="D180" s="83" t="s">
        <v>4877</v>
      </c>
      <c r="E180" s="83" t="s">
        <v>4498</v>
      </c>
      <c r="F180" s="51" t="s">
        <v>4878</v>
      </c>
      <c r="G180" s="51" t="s">
        <v>4879</v>
      </c>
    </row>
    <row r="181" spans="2:7" x14ac:dyDescent="0.15">
      <c r="B181" s="51" t="s">
        <v>443</v>
      </c>
      <c r="C181" s="51" t="s">
        <v>70</v>
      </c>
      <c r="D181" s="83" t="s">
        <v>4880</v>
      </c>
      <c r="E181" s="83" t="s">
        <v>4498</v>
      </c>
      <c r="F181" s="51" t="s">
        <v>4881</v>
      </c>
      <c r="G181" s="51" t="s">
        <v>4882</v>
      </c>
    </row>
    <row r="182" spans="2:7" x14ac:dyDescent="0.15">
      <c r="B182" s="51" t="s">
        <v>443</v>
      </c>
      <c r="C182" s="51" t="s">
        <v>4710</v>
      </c>
      <c r="D182" s="83" t="s">
        <v>4883</v>
      </c>
      <c r="E182" s="83" t="s">
        <v>4498</v>
      </c>
      <c r="F182" s="51" t="s">
        <v>4884</v>
      </c>
      <c r="G182" s="51" t="s">
        <v>4885</v>
      </c>
    </row>
    <row r="183" spans="2:7" x14ac:dyDescent="0.15">
      <c r="B183" s="51" t="s">
        <v>443</v>
      </c>
      <c r="C183" s="51" t="s">
        <v>4710</v>
      </c>
      <c r="D183" s="83" t="s">
        <v>4886</v>
      </c>
      <c r="E183" s="83" t="s">
        <v>4498</v>
      </c>
      <c r="F183" s="51" t="s">
        <v>4887</v>
      </c>
      <c r="G183" s="51" t="s">
        <v>4885</v>
      </c>
    </row>
    <row r="184" spans="2:7" x14ac:dyDescent="0.15">
      <c r="B184" s="51" t="s">
        <v>443</v>
      </c>
      <c r="C184" s="51" t="s">
        <v>71</v>
      </c>
      <c r="D184" s="83" t="s">
        <v>4888</v>
      </c>
      <c r="E184" s="83" t="s">
        <v>4498</v>
      </c>
      <c r="F184" s="51" t="s">
        <v>4889</v>
      </c>
      <c r="G184" s="51" t="s">
        <v>4870</v>
      </c>
    </row>
    <row r="185" spans="2:7" x14ac:dyDescent="0.15">
      <c r="B185" s="51" t="s">
        <v>443</v>
      </c>
      <c r="C185" s="51" t="s">
        <v>71</v>
      </c>
      <c r="D185" s="83" t="s">
        <v>4890</v>
      </c>
      <c r="E185" s="83" t="s">
        <v>4498</v>
      </c>
      <c r="F185" s="51" t="s">
        <v>4891</v>
      </c>
      <c r="G185" s="51" t="s">
        <v>4870</v>
      </c>
    </row>
    <row r="186" spans="2:7" x14ac:dyDescent="0.15">
      <c r="B186" s="51" t="s">
        <v>814</v>
      </c>
      <c r="C186" s="51" t="s">
        <v>71</v>
      </c>
      <c r="D186" s="83" t="s">
        <v>4892</v>
      </c>
      <c r="E186" s="83" t="s">
        <v>4498</v>
      </c>
      <c r="F186" s="51" t="s">
        <v>4893</v>
      </c>
      <c r="G186" s="51" t="s">
        <v>4870</v>
      </c>
    </row>
    <row r="187" spans="2:7" x14ac:dyDescent="0.15">
      <c r="B187" s="51" t="s">
        <v>814</v>
      </c>
      <c r="C187" s="51" t="s">
        <v>71</v>
      </c>
      <c r="D187" s="83" t="s">
        <v>4894</v>
      </c>
      <c r="E187" s="83" t="s">
        <v>4498</v>
      </c>
      <c r="F187" s="51" t="s">
        <v>4895</v>
      </c>
      <c r="G187" s="51" t="s">
        <v>4870</v>
      </c>
    </row>
    <row r="188" spans="2:7" x14ac:dyDescent="0.15">
      <c r="B188" s="51" t="s">
        <v>814</v>
      </c>
      <c r="C188" s="51" t="s">
        <v>4873</v>
      </c>
      <c r="D188" s="83">
        <v>68</v>
      </c>
      <c r="E188" s="83" t="s">
        <v>4498</v>
      </c>
      <c r="F188" s="51" t="s">
        <v>4896</v>
      </c>
      <c r="G188" s="51" t="s">
        <v>4875</v>
      </c>
    </row>
    <row r="190" spans="2:7" x14ac:dyDescent="0.15">
      <c r="B190" s="51" t="s">
        <v>446</v>
      </c>
      <c r="C190" s="51" t="s">
        <v>35</v>
      </c>
      <c r="D190" s="83">
        <v>126</v>
      </c>
      <c r="E190" s="83" t="s">
        <v>4489</v>
      </c>
      <c r="F190" s="51" t="s">
        <v>4897</v>
      </c>
      <c r="G190" s="51" t="s">
        <v>4898</v>
      </c>
    </row>
    <row r="191" spans="2:7" x14ac:dyDescent="0.15">
      <c r="B191" s="51" t="s">
        <v>396</v>
      </c>
      <c r="C191" s="51" t="s">
        <v>35</v>
      </c>
      <c r="D191" s="83">
        <v>57</v>
      </c>
      <c r="E191" s="83" t="s">
        <v>4489</v>
      </c>
      <c r="F191" s="51" t="s">
        <v>4899</v>
      </c>
      <c r="G191" s="51" t="s">
        <v>4898</v>
      </c>
    </row>
    <row r="192" spans="2:7" x14ac:dyDescent="0.15">
      <c r="B192" s="51" t="s">
        <v>396</v>
      </c>
      <c r="C192" s="51" t="s">
        <v>35</v>
      </c>
      <c r="D192" s="83">
        <v>110</v>
      </c>
      <c r="E192" s="83" t="s">
        <v>4489</v>
      </c>
      <c r="F192" s="51" t="s">
        <v>4900</v>
      </c>
      <c r="G192" s="51" t="s">
        <v>4898</v>
      </c>
    </row>
    <row r="193" spans="2:10" x14ac:dyDescent="0.15">
      <c r="B193" s="51" t="s">
        <v>396</v>
      </c>
      <c r="C193" s="51" t="s">
        <v>35</v>
      </c>
      <c r="D193" s="83">
        <v>820</v>
      </c>
      <c r="E193" s="83" t="s">
        <v>4489</v>
      </c>
      <c r="F193" s="51" t="s">
        <v>4901</v>
      </c>
      <c r="G193" s="51" t="s">
        <v>4902</v>
      </c>
    </row>
    <row r="194" spans="2:10" x14ac:dyDescent="0.15">
      <c r="B194" s="51" t="s">
        <v>4903</v>
      </c>
      <c r="C194" s="51" t="s">
        <v>4904</v>
      </c>
      <c r="D194" s="83" t="s">
        <v>4905</v>
      </c>
      <c r="E194" s="83" t="s">
        <v>4498</v>
      </c>
      <c r="F194" s="51" t="s">
        <v>4906</v>
      </c>
      <c r="G194" s="51" t="s">
        <v>4907</v>
      </c>
    </row>
    <row r="195" spans="2:10" x14ac:dyDescent="0.15">
      <c r="B195" s="51" t="s">
        <v>596</v>
      </c>
      <c r="C195" s="51" t="s">
        <v>4908</v>
      </c>
      <c r="D195" s="83" t="s">
        <v>4538</v>
      </c>
      <c r="E195" s="83" t="s">
        <v>4489</v>
      </c>
      <c r="F195" s="51" t="s">
        <v>4909</v>
      </c>
      <c r="G195" s="51" t="s">
        <v>4910</v>
      </c>
    </row>
    <row r="196" spans="2:10" x14ac:dyDescent="0.15">
      <c r="B196" s="51" t="s">
        <v>397</v>
      </c>
      <c r="C196" s="51" t="s">
        <v>374</v>
      </c>
      <c r="D196" s="83" t="s">
        <v>4911</v>
      </c>
      <c r="E196" s="83" t="s">
        <v>4489</v>
      </c>
      <c r="F196" s="51" t="s">
        <v>4912</v>
      </c>
      <c r="G196" s="51" t="s">
        <v>4913</v>
      </c>
    </row>
    <row r="197" spans="2:10" x14ac:dyDescent="0.15">
      <c r="B197" s="51" t="s">
        <v>599</v>
      </c>
      <c r="C197" s="51" t="s">
        <v>35</v>
      </c>
      <c r="D197" s="83">
        <v>42</v>
      </c>
      <c r="E197" s="83" t="s">
        <v>4489</v>
      </c>
      <c r="F197" s="51" t="s">
        <v>4914</v>
      </c>
      <c r="G197" s="51" t="s">
        <v>4898</v>
      </c>
    </row>
    <row r="198" spans="2:10" x14ac:dyDescent="0.15">
      <c r="B198" s="51" t="s">
        <v>4915</v>
      </c>
      <c r="C198" s="51" t="s">
        <v>35</v>
      </c>
      <c r="D198" s="83">
        <v>111</v>
      </c>
      <c r="E198" s="83" t="s">
        <v>4916</v>
      </c>
      <c r="F198" s="51" t="s">
        <v>4917</v>
      </c>
      <c r="G198" s="51" t="s">
        <v>4918</v>
      </c>
    </row>
    <row r="199" spans="2:10" x14ac:dyDescent="0.15">
      <c r="B199" s="51" t="s">
        <v>415</v>
      </c>
      <c r="C199" s="51" t="s">
        <v>26</v>
      </c>
      <c r="D199" s="83" t="s">
        <v>4919</v>
      </c>
      <c r="E199" s="83" t="s">
        <v>4498</v>
      </c>
      <c r="F199" s="51" t="s">
        <v>4920</v>
      </c>
      <c r="G199" s="51" t="s">
        <v>4921</v>
      </c>
    </row>
    <row r="200" spans="2:10" x14ac:dyDescent="0.15">
      <c r="B200" s="51" t="s">
        <v>415</v>
      </c>
      <c r="C200" s="51" t="s">
        <v>26</v>
      </c>
      <c r="D200" s="83" t="s">
        <v>4922</v>
      </c>
      <c r="E200" s="83" t="s">
        <v>4498</v>
      </c>
      <c r="F200" s="51" t="s">
        <v>4923</v>
      </c>
      <c r="G200" s="51" t="s">
        <v>4921</v>
      </c>
    </row>
    <row r="201" spans="2:10" x14ac:dyDescent="0.15">
      <c r="B201" s="51" t="s">
        <v>605</v>
      </c>
      <c r="C201" s="51" t="s">
        <v>219</v>
      </c>
      <c r="D201" s="83" t="s">
        <v>4531</v>
      </c>
      <c r="E201" s="83" t="s">
        <v>4498</v>
      </c>
      <c r="F201" s="51" t="s">
        <v>4924</v>
      </c>
      <c r="G201" s="51" t="s">
        <v>4925</v>
      </c>
    </row>
    <row r="203" spans="2:10" x14ac:dyDescent="0.15">
      <c r="B203" s="51" t="s">
        <v>4926</v>
      </c>
      <c r="C203" s="51" t="s">
        <v>374</v>
      </c>
      <c r="D203" s="83" t="s">
        <v>4927</v>
      </c>
      <c r="E203" s="83" t="s">
        <v>4489</v>
      </c>
      <c r="F203" s="51" t="s">
        <v>4928</v>
      </c>
      <c r="G203" s="51" t="s">
        <v>4929</v>
      </c>
    </row>
    <row r="205" spans="2:10" x14ac:dyDescent="0.15">
      <c r="B205" s="51" t="s">
        <v>799</v>
      </c>
      <c r="C205" s="51" t="s">
        <v>26</v>
      </c>
      <c r="D205" s="83" t="s">
        <v>4930</v>
      </c>
      <c r="E205" s="83" t="s">
        <v>4498</v>
      </c>
      <c r="F205" s="86" t="s">
        <v>4931</v>
      </c>
      <c r="G205" s="51" t="s">
        <v>4932</v>
      </c>
      <c r="I205" s="86" t="s">
        <v>5399</v>
      </c>
      <c r="J205" s="86"/>
    </row>
    <row r="206" spans="2:10" x14ac:dyDescent="0.15">
      <c r="B206" s="51" t="s">
        <v>801</v>
      </c>
      <c r="C206" s="51" t="s">
        <v>26</v>
      </c>
      <c r="D206" s="83" t="s">
        <v>4566</v>
      </c>
      <c r="E206" s="83" t="s">
        <v>4498</v>
      </c>
      <c r="F206" s="54" t="s">
        <v>4933</v>
      </c>
      <c r="G206" s="51" t="s">
        <v>4934</v>
      </c>
      <c r="I206" s="54" t="s">
        <v>4735</v>
      </c>
    </row>
    <row r="207" spans="2:10" x14ac:dyDescent="0.15">
      <c r="B207" s="51" t="s">
        <v>525</v>
      </c>
      <c r="C207" s="51" t="s">
        <v>26</v>
      </c>
      <c r="D207" s="83">
        <v>32</v>
      </c>
      <c r="E207" s="83" t="s">
        <v>4489</v>
      </c>
      <c r="F207" s="51" t="s">
        <v>4935</v>
      </c>
      <c r="G207" s="51" t="s">
        <v>4936</v>
      </c>
    </row>
    <row r="208" spans="2:10" x14ac:dyDescent="0.15">
      <c r="B208" s="51" t="s">
        <v>525</v>
      </c>
      <c r="C208" s="51" t="s">
        <v>26</v>
      </c>
      <c r="D208" s="83" t="s">
        <v>4937</v>
      </c>
      <c r="E208" s="83" t="s">
        <v>4498</v>
      </c>
      <c r="F208" s="51" t="s">
        <v>4938</v>
      </c>
      <c r="G208" s="51" t="s">
        <v>4939</v>
      </c>
    </row>
    <row r="209" spans="2:7" x14ac:dyDescent="0.15">
      <c r="B209" s="51" t="s">
        <v>525</v>
      </c>
      <c r="C209" s="51" t="s">
        <v>26</v>
      </c>
      <c r="D209" s="83" t="s">
        <v>4940</v>
      </c>
      <c r="E209" s="83" t="s">
        <v>4498</v>
      </c>
      <c r="F209" s="51" t="s">
        <v>4941</v>
      </c>
      <c r="G209" s="51" t="s">
        <v>4939</v>
      </c>
    </row>
    <row r="210" spans="2:7" x14ac:dyDescent="0.15">
      <c r="B210" s="51" t="s">
        <v>533</v>
      </c>
      <c r="C210" s="51" t="s">
        <v>219</v>
      </c>
      <c r="D210" s="83" t="s">
        <v>4942</v>
      </c>
      <c r="E210" s="83" t="s">
        <v>4498</v>
      </c>
      <c r="F210" s="51" t="s">
        <v>4943</v>
      </c>
      <c r="G210" s="51" t="s">
        <v>4944</v>
      </c>
    </row>
    <row r="211" spans="2:7" x14ac:dyDescent="0.15">
      <c r="B211" s="51" t="s">
        <v>533</v>
      </c>
      <c r="C211" s="51" t="s">
        <v>219</v>
      </c>
      <c r="D211" s="83" t="s">
        <v>4945</v>
      </c>
      <c r="E211" s="83" t="s">
        <v>4498</v>
      </c>
      <c r="F211" s="51" t="s">
        <v>4946</v>
      </c>
      <c r="G211" s="51" t="s">
        <v>4944</v>
      </c>
    </row>
    <row r="213" spans="2:7" x14ac:dyDescent="0.15">
      <c r="B213" s="51" t="s">
        <v>4947</v>
      </c>
    </row>
    <row r="215" spans="2:7" x14ac:dyDescent="0.15">
      <c r="B215" s="51" t="s">
        <v>689</v>
      </c>
      <c r="C215" s="51" t="s">
        <v>69</v>
      </c>
      <c r="D215" s="83" t="s">
        <v>4948</v>
      </c>
      <c r="E215" s="83" t="s">
        <v>4949</v>
      </c>
      <c r="F215" s="51" t="s">
        <v>4950</v>
      </c>
      <c r="G215" s="51" t="s">
        <v>4951</v>
      </c>
    </row>
    <row r="216" spans="2:7" x14ac:dyDescent="0.15">
      <c r="B216" s="51" t="s">
        <v>817</v>
      </c>
      <c r="C216" s="51" t="s">
        <v>187</v>
      </c>
      <c r="D216" s="83" t="s">
        <v>4952</v>
      </c>
      <c r="E216" s="83" t="s">
        <v>4498</v>
      </c>
      <c r="F216" s="51" t="s">
        <v>4953</v>
      </c>
      <c r="G216" s="51" t="s">
        <v>4954</v>
      </c>
    </row>
    <row r="217" spans="2:7" x14ac:dyDescent="0.15">
      <c r="B217" s="51" t="s">
        <v>498</v>
      </c>
      <c r="C217" s="51" t="s">
        <v>4955</v>
      </c>
      <c r="D217" s="83">
        <v>32</v>
      </c>
      <c r="E217" s="83" t="s">
        <v>4498</v>
      </c>
      <c r="F217" s="51" t="s">
        <v>4953</v>
      </c>
      <c r="G217" s="51" t="s">
        <v>4956</v>
      </c>
    </row>
    <row r="218" spans="2:7" x14ac:dyDescent="0.15">
      <c r="B218" s="51" t="s">
        <v>498</v>
      </c>
      <c r="E218" s="83" t="s">
        <v>4498</v>
      </c>
      <c r="F218" s="51" t="s">
        <v>4953</v>
      </c>
      <c r="G218" s="51" t="s">
        <v>4677</v>
      </c>
    </row>
    <row r="219" spans="2:7" x14ac:dyDescent="0.15">
      <c r="B219" s="51" t="s">
        <v>590</v>
      </c>
      <c r="C219" s="51" t="s">
        <v>593</v>
      </c>
      <c r="D219" s="83" t="s">
        <v>4957</v>
      </c>
      <c r="E219" s="83" t="s">
        <v>4498</v>
      </c>
      <c r="F219" s="51" t="s">
        <v>4958</v>
      </c>
      <c r="G219" s="51" t="s">
        <v>4959</v>
      </c>
    </row>
    <row r="220" spans="2:7" x14ac:dyDescent="0.15">
      <c r="B220" s="51" t="s">
        <v>627</v>
      </c>
      <c r="C220" s="51" t="s">
        <v>300</v>
      </c>
      <c r="D220" s="83" t="s">
        <v>4960</v>
      </c>
      <c r="E220" s="83" t="s">
        <v>4484</v>
      </c>
      <c r="F220" s="51" t="s">
        <v>4953</v>
      </c>
      <c r="G220" s="51" t="s">
        <v>4961</v>
      </c>
    </row>
    <row r="221" spans="2:7" x14ac:dyDescent="0.15">
      <c r="B221" s="51" t="s">
        <v>643</v>
      </c>
      <c r="C221" s="51" t="s">
        <v>644</v>
      </c>
      <c r="D221" s="83" t="s">
        <v>4962</v>
      </c>
      <c r="E221" s="83" t="s">
        <v>4498</v>
      </c>
      <c r="F221" s="51" t="s">
        <v>4953</v>
      </c>
      <c r="G221" s="51" t="s">
        <v>4963</v>
      </c>
    </row>
    <row r="222" spans="2:7" x14ac:dyDescent="0.15">
      <c r="B222" s="51" t="s">
        <v>655</v>
      </c>
      <c r="C222" s="51" t="s">
        <v>301</v>
      </c>
      <c r="D222" s="83" t="s">
        <v>4964</v>
      </c>
      <c r="E222" s="83" t="s">
        <v>4484</v>
      </c>
      <c r="F222" s="51" t="s">
        <v>4953</v>
      </c>
      <c r="G222" s="51" t="s">
        <v>4965</v>
      </c>
    </row>
    <row r="223" spans="2:7" x14ac:dyDescent="0.15">
      <c r="B223" s="51" t="s">
        <v>443</v>
      </c>
      <c r="C223" s="51" t="s">
        <v>71</v>
      </c>
      <c r="D223" s="83" t="s">
        <v>4966</v>
      </c>
      <c r="E223" s="83" t="s">
        <v>4498</v>
      </c>
      <c r="F223" s="51" t="s">
        <v>4967</v>
      </c>
      <c r="G223" s="51" t="s">
        <v>4968</v>
      </c>
    </row>
    <row r="224" spans="2:7" x14ac:dyDescent="0.15">
      <c r="B224" s="51" t="s">
        <v>803</v>
      </c>
      <c r="C224" s="51" t="s">
        <v>247</v>
      </c>
      <c r="D224" s="83" t="s">
        <v>4969</v>
      </c>
      <c r="E224" s="83" t="s">
        <v>4506</v>
      </c>
      <c r="F224" s="51" t="s">
        <v>4970</v>
      </c>
      <c r="G224" s="51" t="s">
        <v>4971</v>
      </c>
    </row>
    <row r="227" spans="1:1" ht="16" x14ac:dyDescent="0.15">
      <c r="A227" s="46" t="s">
        <v>4972</v>
      </c>
    </row>
    <row r="228" spans="1:1" ht="16" x14ac:dyDescent="0.15">
      <c r="A228" s="46"/>
    </row>
    <row r="229" spans="1:1" ht="16" x14ac:dyDescent="0.15">
      <c r="A229" s="49" t="s">
        <v>4973</v>
      </c>
    </row>
    <row r="230" spans="1:1" ht="16" x14ac:dyDescent="0.15">
      <c r="A230" s="46"/>
    </row>
    <row r="231" spans="1:1" ht="16" x14ac:dyDescent="0.15">
      <c r="A231" s="46"/>
    </row>
    <row r="232" spans="1:1" ht="16" x14ac:dyDescent="0.15">
      <c r="A232" s="46" t="s">
        <v>4974</v>
      </c>
    </row>
    <row r="233" spans="1:1" ht="16" x14ac:dyDescent="0.15">
      <c r="A233" s="46"/>
    </row>
    <row r="234" spans="1:1" ht="16" x14ac:dyDescent="0.15">
      <c r="A234" s="46" t="s">
        <v>4975</v>
      </c>
    </row>
    <row r="235" spans="1:1" ht="16" x14ac:dyDescent="0.15">
      <c r="A235" s="46"/>
    </row>
    <row r="236" spans="1:1" ht="16" x14ac:dyDescent="0.15">
      <c r="A236" s="46" t="s">
        <v>4976</v>
      </c>
    </row>
    <row r="237" spans="1:1" ht="16" x14ac:dyDescent="0.15">
      <c r="A237" s="46"/>
    </row>
    <row r="238" spans="1:1" ht="16" x14ac:dyDescent="0.15">
      <c r="A238" s="46" t="s">
        <v>4977</v>
      </c>
    </row>
    <row r="239" spans="1:1" ht="16" x14ac:dyDescent="0.15">
      <c r="A239" s="46"/>
    </row>
    <row r="240" spans="1:1" ht="16" x14ac:dyDescent="0.15">
      <c r="A240" s="46" t="s">
        <v>4978</v>
      </c>
    </row>
    <row r="241" spans="1:1" ht="16" x14ac:dyDescent="0.15">
      <c r="A241" s="46"/>
    </row>
    <row r="242" spans="1:1" ht="16" x14ac:dyDescent="0.15">
      <c r="A242" s="46" t="s">
        <v>4979</v>
      </c>
    </row>
    <row r="243" spans="1:1" ht="16" x14ac:dyDescent="0.15">
      <c r="A243" s="46"/>
    </row>
    <row r="244" spans="1:1" ht="16" x14ac:dyDescent="0.15">
      <c r="A244" s="46" t="s">
        <v>4980</v>
      </c>
    </row>
    <row r="245" spans="1:1" ht="16" x14ac:dyDescent="0.15">
      <c r="A245" s="46"/>
    </row>
    <row r="246" spans="1:1" ht="16" x14ac:dyDescent="0.15">
      <c r="A246" s="46" t="s">
        <v>4981</v>
      </c>
    </row>
    <row r="247" spans="1:1" ht="16" x14ac:dyDescent="0.15">
      <c r="A247" s="46"/>
    </row>
    <row r="248" spans="1:1" ht="16" x14ac:dyDescent="0.15">
      <c r="A248" s="46" t="s">
        <v>4982</v>
      </c>
    </row>
    <row r="249" spans="1:1" ht="16" x14ac:dyDescent="0.15">
      <c r="A249" s="46"/>
    </row>
    <row r="250" spans="1:1" ht="16" x14ac:dyDescent="0.15">
      <c r="A250" s="46" t="s">
        <v>4983</v>
      </c>
    </row>
    <row r="251" spans="1:1" ht="16" x14ac:dyDescent="0.15">
      <c r="A251" s="46"/>
    </row>
    <row r="252" spans="1:1" ht="16" x14ac:dyDescent="0.15">
      <c r="A252" s="46" t="s">
        <v>4984</v>
      </c>
    </row>
    <row r="253" spans="1:1" ht="16" x14ac:dyDescent="0.15">
      <c r="A253" s="46"/>
    </row>
    <row r="254" spans="1:1" ht="16" x14ac:dyDescent="0.15">
      <c r="A254" s="46" t="s">
        <v>4985</v>
      </c>
    </row>
    <row r="255" spans="1:1" ht="16" x14ac:dyDescent="0.15">
      <c r="A255" s="46"/>
    </row>
    <row r="256" spans="1:1" ht="16" x14ac:dyDescent="0.15">
      <c r="A256" s="46" t="s">
        <v>4986</v>
      </c>
    </row>
    <row r="257" spans="1:1" ht="16" x14ac:dyDescent="0.15">
      <c r="A257" s="46"/>
    </row>
    <row r="258" spans="1:1" ht="16" x14ac:dyDescent="0.15">
      <c r="A258" s="46" t="s">
        <v>4987</v>
      </c>
    </row>
    <row r="259" spans="1:1" ht="16" x14ac:dyDescent="0.15">
      <c r="A259" s="46"/>
    </row>
    <row r="260" spans="1:1" ht="16" x14ac:dyDescent="0.15">
      <c r="A260" s="46" t="s">
        <v>4988</v>
      </c>
    </row>
    <row r="261" spans="1:1" ht="16" x14ac:dyDescent="0.15">
      <c r="A261" s="46"/>
    </row>
    <row r="262" spans="1:1" ht="16" x14ac:dyDescent="0.15">
      <c r="A262" s="46" t="s">
        <v>4989</v>
      </c>
    </row>
    <row r="263" spans="1:1" ht="16" x14ac:dyDescent="0.15">
      <c r="A263" s="46"/>
    </row>
    <row r="264" spans="1:1" ht="16" x14ac:dyDescent="0.15">
      <c r="A264" s="46" t="s">
        <v>4990</v>
      </c>
    </row>
    <row r="265" spans="1:1" ht="16" x14ac:dyDescent="0.15">
      <c r="A265" s="46"/>
    </row>
    <row r="266" spans="1:1" ht="16" x14ac:dyDescent="0.15">
      <c r="A266" s="46" t="s">
        <v>4991</v>
      </c>
    </row>
    <row r="267" spans="1:1" ht="16" x14ac:dyDescent="0.15">
      <c r="A267" s="46"/>
    </row>
    <row r="268" spans="1:1" ht="16" x14ac:dyDescent="0.15">
      <c r="A268" s="46" t="s">
        <v>4992</v>
      </c>
    </row>
    <row r="269" spans="1:1" ht="16" x14ac:dyDescent="0.15">
      <c r="A269" s="46"/>
    </row>
    <row r="270" spans="1:1" ht="16" x14ac:dyDescent="0.15">
      <c r="A270" s="46" t="s">
        <v>4993</v>
      </c>
    </row>
    <row r="271" spans="1:1" ht="16" x14ac:dyDescent="0.15">
      <c r="A271" s="46"/>
    </row>
    <row r="272" spans="1:1" ht="16" x14ac:dyDescent="0.15">
      <c r="A272" s="46" t="s">
        <v>4994</v>
      </c>
    </row>
    <row r="273" spans="1:1" ht="16" x14ac:dyDescent="0.15">
      <c r="A273" s="46"/>
    </row>
    <row r="274" spans="1:1" ht="16" x14ac:dyDescent="0.15">
      <c r="A274" s="46" t="s">
        <v>4995</v>
      </c>
    </row>
    <row r="275" spans="1:1" ht="16" x14ac:dyDescent="0.15">
      <c r="A275" s="46"/>
    </row>
    <row r="276" spans="1:1" ht="16" x14ac:dyDescent="0.15">
      <c r="A276" s="46" t="s">
        <v>4996</v>
      </c>
    </row>
    <row r="277" spans="1:1" ht="16" x14ac:dyDescent="0.15">
      <c r="A277" s="46"/>
    </row>
    <row r="278" spans="1:1" ht="16" x14ac:dyDescent="0.15">
      <c r="A278" s="46" t="s">
        <v>4997</v>
      </c>
    </row>
    <row r="279" spans="1:1" ht="16" x14ac:dyDescent="0.15">
      <c r="A279" s="46"/>
    </row>
    <row r="280" spans="1:1" ht="16" x14ac:dyDescent="0.15">
      <c r="A280" s="46" t="s">
        <v>4998</v>
      </c>
    </row>
    <row r="281" spans="1:1" ht="16" x14ac:dyDescent="0.15">
      <c r="A281" s="46"/>
    </row>
    <row r="282" spans="1:1" ht="16" x14ac:dyDescent="0.15">
      <c r="A282" s="46" t="s">
        <v>4999</v>
      </c>
    </row>
    <row r="283" spans="1:1" ht="16" x14ac:dyDescent="0.15">
      <c r="A283" s="46"/>
    </row>
    <row r="284" spans="1:1" ht="16" x14ac:dyDescent="0.15">
      <c r="A284" s="46" t="s">
        <v>5000</v>
      </c>
    </row>
    <row r="285" spans="1:1" ht="16" x14ac:dyDescent="0.15">
      <c r="A285" s="50"/>
    </row>
    <row r="286" spans="1:1" ht="16" x14ac:dyDescent="0.15">
      <c r="A286" s="46" t="s">
        <v>5001</v>
      </c>
    </row>
    <row r="287" spans="1:1" ht="16" x14ac:dyDescent="0.15">
      <c r="A287" s="46"/>
    </row>
    <row r="288" spans="1:1" ht="16" x14ac:dyDescent="0.15">
      <c r="A288" s="46" t="s">
        <v>5002</v>
      </c>
    </row>
    <row r="289" spans="1:1" ht="16" x14ac:dyDescent="0.15">
      <c r="A289" s="46"/>
    </row>
    <row r="290" spans="1:1" ht="16" x14ac:dyDescent="0.15">
      <c r="A290" s="46" t="s">
        <v>5003</v>
      </c>
    </row>
    <row r="291" spans="1:1" ht="16" x14ac:dyDescent="0.15">
      <c r="A291" s="46"/>
    </row>
    <row r="292" spans="1:1" ht="16" x14ac:dyDescent="0.15">
      <c r="A292" s="46" t="s">
        <v>5004</v>
      </c>
    </row>
    <row r="293" spans="1:1" ht="16" x14ac:dyDescent="0.15">
      <c r="A293" s="46"/>
    </row>
    <row r="294" spans="1:1" ht="16" x14ac:dyDescent="0.15">
      <c r="A294" s="46" t="s">
        <v>5005</v>
      </c>
    </row>
    <row r="295" spans="1:1" ht="16" x14ac:dyDescent="0.15">
      <c r="A295" s="46"/>
    </row>
    <row r="296" spans="1:1" ht="16" x14ac:dyDescent="0.15">
      <c r="A296" s="46" t="s">
        <v>5006</v>
      </c>
    </row>
    <row r="297" spans="1:1" ht="16" x14ac:dyDescent="0.15">
      <c r="A297" s="46"/>
    </row>
    <row r="298" spans="1:1" ht="16" x14ac:dyDescent="0.15">
      <c r="A298" s="46" t="s">
        <v>5007</v>
      </c>
    </row>
    <row r="299" spans="1:1" ht="16" x14ac:dyDescent="0.15">
      <c r="A299" s="46"/>
    </row>
    <row r="300" spans="1:1" ht="16" x14ac:dyDescent="0.15">
      <c r="A300" s="46" t="s">
        <v>5008</v>
      </c>
    </row>
    <row r="301" spans="1:1" ht="16" x14ac:dyDescent="0.15">
      <c r="A301" s="46"/>
    </row>
    <row r="302" spans="1:1" ht="16" x14ac:dyDescent="0.15">
      <c r="A302" s="46" t="s">
        <v>5009</v>
      </c>
    </row>
    <row r="303" spans="1:1" ht="16" x14ac:dyDescent="0.15">
      <c r="A303" s="46"/>
    </row>
    <row r="304" spans="1:1" ht="16" x14ac:dyDescent="0.15">
      <c r="A304" s="46" t="s">
        <v>5010</v>
      </c>
    </row>
    <row r="305" spans="1:1" ht="16" x14ac:dyDescent="0.15">
      <c r="A305" s="46"/>
    </row>
    <row r="306" spans="1:1" ht="16" x14ac:dyDescent="0.15">
      <c r="A306" s="46" t="s">
        <v>5011</v>
      </c>
    </row>
    <row r="307" spans="1:1" ht="16" x14ac:dyDescent="0.15">
      <c r="A307" s="46"/>
    </row>
    <row r="308" spans="1:1" ht="16" x14ac:dyDescent="0.15">
      <c r="A308" s="46" t="s">
        <v>5012</v>
      </c>
    </row>
    <row r="309" spans="1:1" ht="16" x14ac:dyDescent="0.15">
      <c r="A309" s="46"/>
    </row>
    <row r="310" spans="1:1" ht="16" x14ac:dyDescent="0.15">
      <c r="A310" s="46" t="s">
        <v>5013</v>
      </c>
    </row>
    <row r="311" spans="1:1" ht="16" x14ac:dyDescent="0.15">
      <c r="A311" s="46"/>
    </row>
    <row r="312" spans="1:1" ht="16" x14ac:dyDescent="0.15">
      <c r="A312" s="46" t="s">
        <v>5014</v>
      </c>
    </row>
    <row r="313" spans="1:1" ht="16" x14ac:dyDescent="0.15">
      <c r="A313" s="46"/>
    </row>
    <row r="314" spans="1:1" ht="16" x14ac:dyDescent="0.15">
      <c r="A314" s="46" t="s">
        <v>5015</v>
      </c>
    </row>
    <row r="315" spans="1:1" ht="16" x14ac:dyDescent="0.15">
      <c r="A315" s="46"/>
    </row>
    <row r="316" spans="1:1" ht="16" x14ac:dyDescent="0.15">
      <c r="A316" s="46" t="s">
        <v>5016</v>
      </c>
    </row>
    <row r="317" spans="1:1" ht="16" x14ac:dyDescent="0.15">
      <c r="A317" s="46"/>
    </row>
    <row r="318" spans="1:1" ht="16" x14ac:dyDescent="0.15">
      <c r="A318" s="46" t="s">
        <v>5017</v>
      </c>
    </row>
    <row r="319" spans="1:1" ht="16" x14ac:dyDescent="0.15">
      <c r="A319" s="46"/>
    </row>
    <row r="320" spans="1:1" ht="16" x14ac:dyDescent="0.15">
      <c r="A320" s="46" t="s">
        <v>5018</v>
      </c>
    </row>
    <row r="321" spans="1:1" ht="16" x14ac:dyDescent="0.15">
      <c r="A321" s="46"/>
    </row>
    <row r="322" spans="1:1" ht="16" x14ac:dyDescent="0.15">
      <c r="A322" s="46" t="s">
        <v>5019</v>
      </c>
    </row>
    <row r="323" spans="1:1" ht="16" x14ac:dyDescent="0.15">
      <c r="A323" s="46"/>
    </row>
    <row r="324" spans="1:1" ht="16" x14ac:dyDescent="0.15">
      <c r="A324" s="46" t="s">
        <v>5168</v>
      </c>
    </row>
    <row r="325" spans="1:1" ht="16" x14ac:dyDescent="0.15">
      <c r="A325" s="46"/>
    </row>
    <row r="326" spans="1:1" ht="16" x14ac:dyDescent="0.15">
      <c r="A326" s="46" t="s">
        <v>5020</v>
      </c>
    </row>
    <row r="327" spans="1:1" ht="16" x14ac:dyDescent="0.15">
      <c r="A327" s="46"/>
    </row>
    <row r="328" spans="1:1" ht="16" x14ac:dyDescent="0.15">
      <c r="A328" s="46" t="s">
        <v>5021</v>
      </c>
    </row>
    <row r="329" spans="1:1" ht="16" x14ac:dyDescent="0.15">
      <c r="A329" s="46"/>
    </row>
    <row r="330" spans="1:1" ht="16" x14ac:dyDescent="0.15">
      <c r="A330" s="46" t="s">
        <v>5022</v>
      </c>
    </row>
    <row r="331" spans="1:1" ht="16" x14ac:dyDescent="0.15">
      <c r="A331" s="46"/>
    </row>
    <row r="332" spans="1:1" ht="16" x14ac:dyDescent="0.15">
      <c r="A332" s="46" t="s">
        <v>5023</v>
      </c>
    </row>
    <row r="333" spans="1:1" ht="16" x14ac:dyDescent="0.15">
      <c r="A333" s="46"/>
    </row>
    <row r="334" spans="1:1" ht="16" x14ac:dyDescent="0.15">
      <c r="A334" s="46" t="s">
        <v>5024</v>
      </c>
    </row>
    <row r="335" spans="1:1" ht="16" x14ac:dyDescent="0.15">
      <c r="A335" s="46"/>
    </row>
    <row r="336" spans="1:1" ht="16" x14ac:dyDescent="0.15">
      <c r="A336" s="46" t="s">
        <v>5025</v>
      </c>
    </row>
    <row r="337" spans="1:1" ht="16" x14ac:dyDescent="0.15">
      <c r="A337" s="46"/>
    </row>
    <row r="338" spans="1:1" ht="16" x14ac:dyDescent="0.15">
      <c r="A338" s="46" t="s">
        <v>5026</v>
      </c>
    </row>
    <row r="339" spans="1:1" ht="16" x14ac:dyDescent="0.15">
      <c r="A339" s="46"/>
    </row>
    <row r="340" spans="1:1" ht="16" x14ac:dyDescent="0.15">
      <c r="A340" s="46" t="s">
        <v>5027</v>
      </c>
    </row>
    <row r="341" spans="1:1" ht="16" x14ac:dyDescent="0.15">
      <c r="A341" s="46"/>
    </row>
    <row r="342" spans="1:1" ht="16" x14ac:dyDescent="0.15">
      <c r="A342" s="46" t="s">
        <v>5028</v>
      </c>
    </row>
    <row r="343" spans="1:1" ht="16" x14ac:dyDescent="0.15">
      <c r="A343" s="46"/>
    </row>
    <row r="344" spans="1:1" ht="16" x14ac:dyDescent="0.15">
      <c r="A344" s="46" t="s">
        <v>5029</v>
      </c>
    </row>
    <row r="345" spans="1:1" ht="16" x14ac:dyDescent="0.15">
      <c r="A345" s="46"/>
    </row>
    <row r="346" spans="1:1" ht="16" x14ac:dyDescent="0.15">
      <c r="A346" s="46" t="s">
        <v>5030</v>
      </c>
    </row>
    <row r="347" spans="1:1" ht="16" x14ac:dyDescent="0.15">
      <c r="A347" s="46"/>
    </row>
    <row r="348" spans="1:1" ht="16" x14ac:dyDescent="0.15">
      <c r="A348" s="46" t="s">
        <v>5031</v>
      </c>
    </row>
    <row r="349" spans="1:1" ht="16" x14ac:dyDescent="0.15">
      <c r="A349" s="46"/>
    </row>
    <row r="350" spans="1:1" ht="16" x14ac:dyDescent="0.15">
      <c r="A350" s="46" t="s">
        <v>5032</v>
      </c>
    </row>
    <row r="351" spans="1:1" ht="16" x14ac:dyDescent="0.15">
      <c r="A351" s="46"/>
    </row>
    <row r="352" spans="1:1" ht="16" x14ac:dyDescent="0.15">
      <c r="A352" s="46" t="s">
        <v>5033</v>
      </c>
    </row>
    <row r="353" spans="1:1" ht="16" x14ac:dyDescent="0.15">
      <c r="A353" s="46"/>
    </row>
    <row r="354" spans="1:1" ht="16" x14ac:dyDescent="0.15">
      <c r="A354" s="46" t="s">
        <v>5034</v>
      </c>
    </row>
    <row r="355" spans="1:1" ht="16" x14ac:dyDescent="0.15">
      <c r="A355" s="46"/>
    </row>
    <row r="356" spans="1:1" ht="16" x14ac:dyDescent="0.15">
      <c r="A356" s="46" t="s">
        <v>5035</v>
      </c>
    </row>
    <row r="357" spans="1:1" ht="16" x14ac:dyDescent="0.15">
      <c r="A357" s="46"/>
    </row>
    <row r="358" spans="1:1" ht="16" x14ac:dyDescent="0.15">
      <c r="A358" s="46" t="s">
        <v>5036</v>
      </c>
    </row>
    <row r="359" spans="1:1" ht="16" x14ac:dyDescent="0.15">
      <c r="A359" s="46"/>
    </row>
    <row r="360" spans="1:1" ht="16" x14ac:dyDescent="0.15">
      <c r="A360" s="46" t="s">
        <v>5037</v>
      </c>
    </row>
    <row r="361" spans="1:1" ht="16" x14ac:dyDescent="0.15">
      <c r="A361" s="46"/>
    </row>
    <row r="362" spans="1:1" ht="16" x14ac:dyDescent="0.15">
      <c r="A362" s="46" t="s">
        <v>5038</v>
      </c>
    </row>
    <row r="363" spans="1:1" ht="16" x14ac:dyDescent="0.15">
      <c r="A363" s="46"/>
    </row>
    <row r="364" spans="1:1" ht="16" x14ac:dyDescent="0.15">
      <c r="A364" s="46" t="s">
        <v>5039</v>
      </c>
    </row>
    <row r="365" spans="1:1" ht="16" x14ac:dyDescent="0.15">
      <c r="A365" s="46"/>
    </row>
    <row r="366" spans="1:1" ht="16" x14ac:dyDescent="0.15">
      <c r="A366" s="46" t="s">
        <v>5040</v>
      </c>
    </row>
    <row r="367" spans="1:1" ht="16" x14ac:dyDescent="0.15">
      <c r="A367" s="46"/>
    </row>
    <row r="368" spans="1:1" ht="16" x14ac:dyDescent="0.15">
      <c r="A368" s="46" t="s">
        <v>5041</v>
      </c>
    </row>
    <row r="369" spans="1:1" ht="16" x14ac:dyDescent="0.15">
      <c r="A369" s="46"/>
    </row>
    <row r="370" spans="1:1" ht="16" x14ac:dyDescent="0.15">
      <c r="A370" s="46" t="s">
        <v>5042</v>
      </c>
    </row>
    <row r="371" spans="1:1" ht="16" x14ac:dyDescent="0.15">
      <c r="A371" s="46"/>
    </row>
    <row r="372" spans="1:1" ht="16" x14ac:dyDescent="0.15">
      <c r="A372" s="46" t="s">
        <v>5043</v>
      </c>
    </row>
    <row r="373" spans="1:1" ht="16" x14ac:dyDescent="0.15">
      <c r="A373" s="46"/>
    </row>
    <row r="374" spans="1:1" ht="16" x14ac:dyDescent="0.15">
      <c r="A374" s="46" t="s">
        <v>5044</v>
      </c>
    </row>
    <row r="375" spans="1:1" ht="16" x14ac:dyDescent="0.15">
      <c r="A375" s="46"/>
    </row>
    <row r="376" spans="1:1" ht="16" x14ac:dyDescent="0.15">
      <c r="A376" s="46" t="s">
        <v>5045</v>
      </c>
    </row>
    <row r="377" spans="1:1" ht="16" x14ac:dyDescent="0.15">
      <c r="A377" s="46"/>
    </row>
    <row r="378" spans="1:1" ht="16" x14ac:dyDescent="0.15">
      <c r="A378" s="46" t="s">
        <v>5046</v>
      </c>
    </row>
    <row r="379" spans="1:1" ht="16" x14ac:dyDescent="0.15">
      <c r="A379" s="46"/>
    </row>
    <row r="380" spans="1:1" ht="16" x14ac:dyDescent="0.15">
      <c r="A380" s="46" t="s">
        <v>5047</v>
      </c>
    </row>
    <row r="381" spans="1:1" ht="16" x14ac:dyDescent="0.15">
      <c r="A381" s="46"/>
    </row>
    <row r="382" spans="1:1" ht="16" x14ac:dyDescent="0.15">
      <c r="A382" s="46" t="s">
        <v>5048</v>
      </c>
    </row>
    <row r="383" spans="1:1" ht="16" x14ac:dyDescent="0.15">
      <c r="A383" s="46"/>
    </row>
    <row r="384" spans="1:1" ht="16" x14ac:dyDescent="0.15">
      <c r="A384" s="46" t="s">
        <v>5049</v>
      </c>
    </row>
    <row r="385" spans="1:1" ht="16" x14ac:dyDescent="0.15">
      <c r="A385" s="46"/>
    </row>
    <row r="386" spans="1:1" ht="16" x14ac:dyDescent="0.15">
      <c r="A386" s="46" t="s">
        <v>5050</v>
      </c>
    </row>
    <row r="387" spans="1:1" ht="16" x14ac:dyDescent="0.15">
      <c r="A387" s="46"/>
    </row>
    <row r="388" spans="1:1" ht="16" x14ac:dyDescent="0.15">
      <c r="A388" s="46" t="s">
        <v>5051</v>
      </c>
    </row>
    <row r="389" spans="1:1" ht="16" x14ac:dyDescent="0.15">
      <c r="A389" s="46"/>
    </row>
    <row r="390" spans="1:1" ht="16" x14ac:dyDescent="0.15">
      <c r="A390" s="46" t="s">
        <v>5052</v>
      </c>
    </row>
    <row r="391" spans="1:1" ht="16" x14ac:dyDescent="0.15">
      <c r="A391" s="46"/>
    </row>
    <row r="392" spans="1:1" ht="16" x14ac:dyDescent="0.15">
      <c r="A392" s="46" t="s">
        <v>5053</v>
      </c>
    </row>
    <row r="393" spans="1:1" ht="16" x14ac:dyDescent="0.15">
      <c r="A393" s="46"/>
    </row>
    <row r="394" spans="1:1" ht="16" x14ac:dyDescent="0.15">
      <c r="A394" s="46" t="s">
        <v>5054</v>
      </c>
    </row>
    <row r="395" spans="1:1" ht="16" x14ac:dyDescent="0.15">
      <c r="A395" s="46"/>
    </row>
    <row r="396" spans="1:1" ht="16" x14ac:dyDescent="0.15">
      <c r="A396" s="46" t="s">
        <v>5055</v>
      </c>
    </row>
    <row r="397" spans="1:1" ht="16" x14ac:dyDescent="0.15">
      <c r="A397" s="46"/>
    </row>
    <row r="398" spans="1:1" ht="16" x14ac:dyDescent="0.15">
      <c r="A398" s="46" t="s">
        <v>5056</v>
      </c>
    </row>
    <row r="399" spans="1:1" ht="16" x14ac:dyDescent="0.15">
      <c r="A399" s="46"/>
    </row>
    <row r="400" spans="1:1" ht="16" x14ac:dyDescent="0.15">
      <c r="A400" s="46" t="s">
        <v>5057</v>
      </c>
    </row>
    <row r="401" spans="1:1" ht="16" x14ac:dyDescent="0.15">
      <c r="A401" s="46"/>
    </row>
    <row r="402" spans="1:1" ht="16" x14ac:dyDescent="0.15">
      <c r="A402" s="46" t="s">
        <v>5058</v>
      </c>
    </row>
    <row r="403" spans="1:1" ht="16" x14ac:dyDescent="0.15">
      <c r="A403" s="46"/>
    </row>
    <row r="404" spans="1:1" ht="16" x14ac:dyDescent="0.15">
      <c r="A404" s="46" t="s">
        <v>5059</v>
      </c>
    </row>
    <row r="405" spans="1:1" ht="16" x14ac:dyDescent="0.15">
      <c r="A405" s="46"/>
    </row>
    <row r="406" spans="1:1" ht="16" x14ac:dyDescent="0.15">
      <c r="A406" s="46" t="s">
        <v>5060</v>
      </c>
    </row>
    <row r="407" spans="1:1" ht="16" x14ac:dyDescent="0.15">
      <c r="A407" s="46"/>
    </row>
    <row r="408" spans="1:1" ht="16" x14ac:dyDescent="0.15">
      <c r="A408" s="46" t="s">
        <v>5061</v>
      </c>
    </row>
    <row r="409" spans="1:1" ht="16" x14ac:dyDescent="0.15">
      <c r="A409" s="46"/>
    </row>
    <row r="410" spans="1:1" ht="16" x14ac:dyDescent="0.15">
      <c r="A410" s="46" t="s">
        <v>5062</v>
      </c>
    </row>
    <row r="411" spans="1:1" ht="16" x14ac:dyDescent="0.15">
      <c r="A411" s="46"/>
    </row>
    <row r="412" spans="1:1" ht="16" x14ac:dyDescent="0.15">
      <c r="A412" s="46" t="s">
        <v>5063</v>
      </c>
    </row>
    <row r="413" spans="1:1" ht="16" x14ac:dyDescent="0.15">
      <c r="A413" s="46"/>
    </row>
    <row r="414" spans="1:1" ht="16" x14ac:dyDescent="0.15">
      <c r="A414" s="46" t="s">
        <v>5064</v>
      </c>
    </row>
    <row r="415" spans="1:1" ht="16" x14ac:dyDescent="0.15">
      <c r="A415" s="46"/>
    </row>
    <row r="416" spans="1:1" ht="16" x14ac:dyDescent="0.15">
      <c r="A416" s="46" t="s">
        <v>5065</v>
      </c>
    </row>
    <row r="417" spans="1:1" ht="16" x14ac:dyDescent="0.15">
      <c r="A417" s="46"/>
    </row>
    <row r="418" spans="1:1" ht="16" x14ac:dyDescent="0.15">
      <c r="A418" s="46" t="s">
        <v>5066</v>
      </c>
    </row>
    <row r="419" spans="1:1" ht="16" x14ac:dyDescent="0.15">
      <c r="A419" s="46"/>
    </row>
    <row r="420" spans="1:1" ht="16" x14ac:dyDescent="0.15">
      <c r="A420" s="46" t="s">
        <v>5067</v>
      </c>
    </row>
    <row r="421" spans="1:1" ht="16" x14ac:dyDescent="0.15">
      <c r="A421" s="46"/>
    </row>
    <row r="422" spans="1:1" ht="16" x14ac:dyDescent="0.15">
      <c r="A422" s="46" t="s">
        <v>5068</v>
      </c>
    </row>
    <row r="423" spans="1:1" ht="16" x14ac:dyDescent="0.15">
      <c r="A423" s="46" t="s">
        <v>4161</v>
      </c>
    </row>
    <row r="424" spans="1:1" ht="16" x14ac:dyDescent="0.15">
      <c r="A424" s="46" t="s">
        <v>5069</v>
      </c>
    </row>
    <row r="425" spans="1:1" ht="16" x14ac:dyDescent="0.15">
      <c r="A425" s="46"/>
    </row>
    <row r="426" spans="1:1" ht="16" x14ac:dyDescent="0.15">
      <c r="A426" s="46" t="s">
        <v>5070</v>
      </c>
    </row>
    <row r="427" spans="1:1" ht="16" x14ac:dyDescent="0.15">
      <c r="A427" s="46"/>
    </row>
    <row r="428" spans="1:1" ht="16" x14ac:dyDescent="0.15">
      <c r="A428" s="46" t="s">
        <v>5071</v>
      </c>
    </row>
    <row r="429" spans="1:1" ht="16" x14ac:dyDescent="0.15">
      <c r="A429" s="46"/>
    </row>
    <row r="430" spans="1:1" ht="16" x14ac:dyDescent="0.15">
      <c r="A430" s="46" t="s">
        <v>5072</v>
      </c>
    </row>
    <row r="431" spans="1:1" ht="16" x14ac:dyDescent="0.15">
      <c r="A431" s="46"/>
    </row>
    <row r="432" spans="1:1" ht="16" x14ac:dyDescent="0.15">
      <c r="A432" s="46" t="s">
        <v>5073</v>
      </c>
    </row>
    <row r="433" spans="1:1" ht="16" x14ac:dyDescent="0.15">
      <c r="A433" s="46"/>
    </row>
    <row r="434" spans="1:1" ht="16" x14ac:dyDescent="0.15">
      <c r="A434" s="46" t="s">
        <v>5074</v>
      </c>
    </row>
    <row r="435" spans="1:1" ht="16" x14ac:dyDescent="0.15">
      <c r="A435" s="46"/>
    </row>
    <row r="436" spans="1:1" ht="16" x14ac:dyDescent="0.15">
      <c r="A436" s="49" t="s">
        <v>5075</v>
      </c>
    </row>
    <row r="437" spans="1:1" ht="16" x14ac:dyDescent="0.15">
      <c r="A437" s="46"/>
    </row>
    <row r="438" spans="1:1" ht="16" x14ac:dyDescent="0.15">
      <c r="A438" s="46" t="s">
        <v>5076</v>
      </c>
    </row>
    <row r="439" spans="1:1" ht="16" x14ac:dyDescent="0.15">
      <c r="A439" s="46"/>
    </row>
    <row r="440" spans="1:1" ht="16" x14ac:dyDescent="0.15">
      <c r="A440" s="46" t="s">
        <v>5077</v>
      </c>
    </row>
    <row r="441" spans="1:1" ht="16" x14ac:dyDescent="0.15">
      <c r="A441" s="46"/>
    </row>
    <row r="442" spans="1:1" ht="16" x14ac:dyDescent="0.15">
      <c r="A442" s="46" t="s">
        <v>5078</v>
      </c>
    </row>
    <row r="443" spans="1:1" ht="16" x14ac:dyDescent="0.15">
      <c r="A443" s="46"/>
    </row>
    <row r="444" spans="1:1" ht="16" x14ac:dyDescent="0.15">
      <c r="A444" s="46" t="s">
        <v>5079</v>
      </c>
    </row>
    <row r="445" spans="1:1" ht="16" x14ac:dyDescent="0.15">
      <c r="A445" s="46"/>
    </row>
    <row r="446" spans="1:1" ht="16" x14ac:dyDescent="0.15">
      <c r="A446" s="46" t="s">
        <v>5080</v>
      </c>
    </row>
    <row r="447" spans="1:1" ht="16" x14ac:dyDescent="0.15">
      <c r="A447" s="46"/>
    </row>
    <row r="448" spans="1:1" ht="16" x14ac:dyDescent="0.15">
      <c r="A448" s="46" t="s">
        <v>5081</v>
      </c>
    </row>
    <row r="449" spans="1:1" ht="16" x14ac:dyDescent="0.15">
      <c r="A449" s="46"/>
    </row>
    <row r="450" spans="1:1" ht="16" x14ac:dyDescent="0.15">
      <c r="A450" s="46" t="s">
        <v>5082</v>
      </c>
    </row>
    <row r="451" spans="1:1" ht="16" x14ac:dyDescent="0.15">
      <c r="A451" s="46"/>
    </row>
    <row r="452" spans="1:1" ht="16" x14ac:dyDescent="0.15">
      <c r="A452" s="46" t="s">
        <v>5083</v>
      </c>
    </row>
    <row r="453" spans="1:1" ht="16" x14ac:dyDescent="0.15">
      <c r="A453" s="46"/>
    </row>
    <row r="454" spans="1:1" ht="16" x14ac:dyDescent="0.15">
      <c r="A454" s="46" t="s">
        <v>5084</v>
      </c>
    </row>
    <row r="455" spans="1:1" ht="16" x14ac:dyDescent="0.15">
      <c r="A455" s="46"/>
    </row>
    <row r="456" spans="1:1" ht="16" x14ac:dyDescent="0.15">
      <c r="A456" s="46" t="s">
        <v>5085</v>
      </c>
    </row>
    <row r="457" spans="1:1" ht="16" x14ac:dyDescent="0.15">
      <c r="A457" s="46"/>
    </row>
    <row r="458" spans="1:1" ht="16" x14ac:dyDescent="0.15">
      <c r="A458" s="46" t="s">
        <v>5086</v>
      </c>
    </row>
    <row r="459" spans="1:1" ht="16" x14ac:dyDescent="0.15">
      <c r="A459" s="46"/>
    </row>
    <row r="460" spans="1:1" ht="16" x14ac:dyDescent="0.15">
      <c r="A460" s="46" t="s">
        <v>5087</v>
      </c>
    </row>
    <row r="461" spans="1:1" ht="16" x14ac:dyDescent="0.15">
      <c r="A461" s="46"/>
    </row>
    <row r="462" spans="1:1" ht="16" x14ac:dyDescent="0.15">
      <c r="A462" s="46" t="s">
        <v>5088</v>
      </c>
    </row>
    <row r="463" spans="1:1" ht="16" x14ac:dyDescent="0.15">
      <c r="A463" s="46"/>
    </row>
    <row r="464" spans="1:1" ht="16" x14ac:dyDescent="0.15">
      <c r="A464" s="46" t="s">
        <v>5089</v>
      </c>
    </row>
    <row r="465" spans="1:1" ht="16" x14ac:dyDescent="0.15">
      <c r="A465" s="46"/>
    </row>
    <row r="466" spans="1:1" ht="16" x14ac:dyDescent="0.15">
      <c r="A466" s="46" t="s">
        <v>5090</v>
      </c>
    </row>
    <row r="467" spans="1:1" ht="16" x14ac:dyDescent="0.15">
      <c r="A467" s="46"/>
    </row>
    <row r="468" spans="1:1" ht="16" x14ac:dyDescent="0.15">
      <c r="A468" s="46" t="s">
        <v>5091</v>
      </c>
    </row>
    <row r="469" spans="1:1" ht="16" x14ac:dyDescent="0.15">
      <c r="A469" s="46"/>
    </row>
    <row r="470" spans="1:1" ht="16" x14ac:dyDescent="0.15">
      <c r="A470" s="46" t="s">
        <v>5092</v>
      </c>
    </row>
    <row r="471" spans="1:1" ht="16" x14ac:dyDescent="0.15">
      <c r="A471" s="46"/>
    </row>
    <row r="472" spans="1:1" ht="16" x14ac:dyDescent="0.15">
      <c r="A472" s="46" t="s">
        <v>5093</v>
      </c>
    </row>
    <row r="473" spans="1:1" ht="16" x14ac:dyDescent="0.15">
      <c r="A473" s="46"/>
    </row>
    <row r="474" spans="1:1" ht="16" x14ac:dyDescent="0.15">
      <c r="A474" s="46" t="s">
        <v>5094</v>
      </c>
    </row>
    <row r="475" spans="1:1" ht="16" x14ac:dyDescent="0.15">
      <c r="A475" s="46"/>
    </row>
    <row r="476" spans="1:1" ht="16" x14ac:dyDescent="0.15">
      <c r="A476" s="46" t="s">
        <v>5095</v>
      </c>
    </row>
    <row r="477" spans="1:1" ht="16" x14ac:dyDescent="0.15">
      <c r="A477" s="46"/>
    </row>
    <row r="478" spans="1:1" ht="16" x14ac:dyDescent="0.15">
      <c r="A478" s="46" t="s">
        <v>5096</v>
      </c>
    </row>
    <row r="479" spans="1:1" ht="16" x14ac:dyDescent="0.15">
      <c r="A479" s="46"/>
    </row>
    <row r="480" spans="1:1" ht="16" x14ac:dyDescent="0.15">
      <c r="A480" s="46" t="s">
        <v>5097</v>
      </c>
    </row>
    <row r="481" spans="1:1" ht="16" x14ac:dyDescent="0.15">
      <c r="A481" s="46"/>
    </row>
    <row r="482" spans="1:1" ht="16" x14ac:dyDescent="0.15">
      <c r="A482" s="46" t="s">
        <v>5098</v>
      </c>
    </row>
    <row r="483" spans="1:1" ht="16" x14ac:dyDescent="0.15">
      <c r="A483" s="46"/>
    </row>
    <row r="484" spans="1:1" ht="16" x14ac:dyDescent="0.15">
      <c r="A484" s="46" t="s">
        <v>5419</v>
      </c>
    </row>
    <row r="485" spans="1:1" ht="16" x14ac:dyDescent="0.15">
      <c r="A485" s="46" t="s">
        <v>5099</v>
      </c>
    </row>
    <row r="486" spans="1:1" ht="16" x14ac:dyDescent="0.15">
      <c r="A486" s="46"/>
    </row>
    <row r="487" spans="1:1" ht="16" x14ac:dyDescent="0.15">
      <c r="A487" s="46" t="s">
        <v>5100</v>
      </c>
    </row>
    <row r="488" spans="1:1" ht="16" x14ac:dyDescent="0.15">
      <c r="A488" s="46"/>
    </row>
    <row r="489" spans="1:1" ht="16" x14ac:dyDescent="0.15">
      <c r="A489" s="46" t="s">
        <v>5101</v>
      </c>
    </row>
    <row r="490" spans="1:1" ht="16" x14ac:dyDescent="0.15">
      <c r="A490" s="46"/>
    </row>
    <row r="491" spans="1:1" ht="16" x14ac:dyDescent="0.15">
      <c r="A491" s="46" t="s">
        <v>5102</v>
      </c>
    </row>
    <row r="492" spans="1:1" ht="16" x14ac:dyDescent="0.15">
      <c r="A492" s="46"/>
    </row>
    <row r="493" spans="1:1" ht="16" x14ac:dyDescent="0.15">
      <c r="A493" s="46" t="s">
        <v>5103</v>
      </c>
    </row>
    <row r="494" spans="1:1" ht="16" x14ac:dyDescent="0.15">
      <c r="A494" s="46"/>
    </row>
    <row r="495" spans="1:1" ht="16" x14ac:dyDescent="0.15">
      <c r="A495" s="46" t="s">
        <v>5104</v>
      </c>
    </row>
    <row r="496" spans="1:1" ht="16" x14ac:dyDescent="0.15">
      <c r="A496" s="46"/>
    </row>
    <row r="497" spans="1:1" ht="16" x14ac:dyDescent="0.15">
      <c r="A497" s="46" t="s">
        <v>5105</v>
      </c>
    </row>
    <row r="498" spans="1:1" ht="16" x14ac:dyDescent="0.15">
      <c r="A498" s="46"/>
    </row>
    <row r="499" spans="1:1" ht="16" x14ac:dyDescent="0.15">
      <c r="A499" s="46" t="s">
        <v>5106</v>
      </c>
    </row>
    <row r="500" spans="1:1" ht="16" x14ac:dyDescent="0.15">
      <c r="A500" s="46"/>
    </row>
    <row r="501" spans="1:1" ht="16" x14ac:dyDescent="0.15">
      <c r="A501" s="46" t="s">
        <v>5107</v>
      </c>
    </row>
    <row r="502" spans="1:1" ht="16" x14ac:dyDescent="0.15">
      <c r="A502" s="46"/>
    </row>
    <row r="503" spans="1:1" ht="16" x14ac:dyDescent="0.15">
      <c r="A503" s="46" t="s">
        <v>5108</v>
      </c>
    </row>
    <row r="504" spans="1:1" ht="16" x14ac:dyDescent="0.15">
      <c r="A504" s="46"/>
    </row>
    <row r="505" spans="1:1" ht="16" x14ac:dyDescent="0.15">
      <c r="A505" s="46" t="s">
        <v>5109</v>
      </c>
    </row>
    <row r="506" spans="1:1" ht="16" x14ac:dyDescent="0.15">
      <c r="A506" s="46"/>
    </row>
    <row r="507" spans="1:1" ht="16" x14ac:dyDescent="0.15">
      <c r="A507" s="46" t="s">
        <v>5110</v>
      </c>
    </row>
    <row r="508" spans="1:1" ht="16" x14ac:dyDescent="0.15">
      <c r="A508" s="46"/>
    </row>
    <row r="509" spans="1:1" ht="16" x14ac:dyDescent="0.15">
      <c r="A509" s="46" t="s">
        <v>5111</v>
      </c>
    </row>
    <row r="510" spans="1:1" ht="16" x14ac:dyDescent="0.15">
      <c r="A510" s="46"/>
    </row>
    <row r="511" spans="1:1" ht="16" x14ac:dyDescent="0.15">
      <c r="A511" s="46" t="s">
        <v>5112</v>
      </c>
    </row>
    <row r="512" spans="1:1" ht="16" x14ac:dyDescent="0.15">
      <c r="A512" s="46"/>
    </row>
    <row r="513" spans="1:1" ht="16" x14ac:dyDescent="0.15">
      <c r="A513" s="46" t="s">
        <v>5113</v>
      </c>
    </row>
    <row r="514" spans="1:1" ht="16" x14ac:dyDescent="0.15">
      <c r="A514" s="46"/>
    </row>
    <row r="515" spans="1:1" ht="16" x14ac:dyDescent="0.15">
      <c r="A515" s="46" t="s">
        <v>5114</v>
      </c>
    </row>
    <row r="516" spans="1:1" ht="16" x14ac:dyDescent="0.15">
      <c r="A516" s="46"/>
    </row>
    <row r="517" spans="1:1" ht="18" x14ac:dyDescent="0.15">
      <c r="A517" s="46" t="s">
        <v>5115</v>
      </c>
    </row>
    <row r="518" spans="1:1" ht="16" x14ac:dyDescent="0.15">
      <c r="A518" s="46"/>
    </row>
    <row r="519" spans="1:1" ht="16" x14ac:dyDescent="0.15">
      <c r="A519" s="46" t="s">
        <v>5116</v>
      </c>
    </row>
    <row r="520" spans="1:1" ht="16" x14ac:dyDescent="0.15">
      <c r="A520" s="46"/>
    </row>
    <row r="521" spans="1:1" ht="16" x14ac:dyDescent="0.15">
      <c r="A521" s="46" t="s">
        <v>5117</v>
      </c>
    </row>
    <row r="522" spans="1:1" ht="16" x14ac:dyDescent="0.15">
      <c r="A522" s="46"/>
    </row>
    <row r="523" spans="1:1" ht="16" x14ac:dyDescent="0.15">
      <c r="A523" s="46" t="s">
        <v>5118</v>
      </c>
    </row>
    <row r="524" spans="1:1" ht="16" x14ac:dyDescent="0.15">
      <c r="A524" s="46"/>
    </row>
    <row r="525" spans="1:1" ht="16" x14ac:dyDescent="0.15">
      <c r="A525" s="46" t="s">
        <v>5119</v>
      </c>
    </row>
    <row r="526" spans="1:1" ht="16" x14ac:dyDescent="0.15">
      <c r="A526" s="46"/>
    </row>
    <row r="527" spans="1:1" ht="16" x14ac:dyDescent="0.15">
      <c r="A527" s="46" t="s">
        <v>5120</v>
      </c>
    </row>
    <row r="528" spans="1:1" ht="16" x14ac:dyDescent="0.15">
      <c r="A528" s="46"/>
    </row>
    <row r="529" spans="1:1" ht="16" x14ac:dyDescent="0.15">
      <c r="A529" s="46" t="s">
        <v>5121</v>
      </c>
    </row>
    <row r="530" spans="1:1" ht="16" x14ac:dyDescent="0.15">
      <c r="A530" s="46"/>
    </row>
    <row r="531" spans="1:1" ht="16" x14ac:dyDescent="0.15">
      <c r="A531" s="46" t="s">
        <v>5122</v>
      </c>
    </row>
    <row r="532" spans="1:1" ht="16" x14ac:dyDescent="0.15">
      <c r="A532" s="46"/>
    </row>
    <row r="533" spans="1:1" ht="16" x14ac:dyDescent="0.15">
      <c r="A533" s="46" t="s">
        <v>5173</v>
      </c>
    </row>
    <row r="534" spans="1:1" ht="16" x14ac:dyDescent="0.15">
      <c r="A534" s="46"/>
    </row>
    <row r="535" spans="1:1" ht="16" x14ac:dyDescent="0.15">
      <c r="A535" s="46" t="s">
        <v>5123</v>
      </c>
    </row>
    <row r="536" spans="1:1" ht="16" x14ac:dyDescent="0.15">
      <c r="A536" s="46"/>
    </row>
    <row r="537" spans="1:1" ht="16" x14ac:dyDescent="0.15">
      <c r="A537" s="46" t="s">
        <v>5124</v>
      </c>
    </row>
    <row r="538" spans="1:1" ht="16" x14ac:dyDescent="0.15">
      <c r="A538" s="46"/>
    </row>
    <row r="539" spans="1:1" ht="16" x14ac:dyDescent="0.15">
      <c r="A539" s="46" t="s">
        <v>5125</v>
      </c>
    </row>
    <row r="540" spans="1:1" ht="16" x14ac:dyDescent="0.15">
      <c r="A540" s="46"/>
    </row>
    <row r="541" spans="1:1" ht="16" x14ac:dyDescent="0.15">
      <c r="A541" s="46" t="s">
        <v>5126</v>
      </c>
    </row>
    <row r="542" spans="1:1" ht="16" x14ac:dyDescent="0.15">
      <c r="A542" s="46"/>
    </row>
    <row r="543" spans="1:1" ht="16" x14ac:dyDescent="0.15">
      <c r="A543" s="46" t="s">
        <v>5127</v>
      </c>
    </row>
    <row r="544" spans="1:1" ht="16" x14ac:dyDescent="0.15">
      <c r="A544" s="46"/>
    </row>
    <row r="545" spans="1:1" ht="16" x14ac:dyDescent="0.15">
      <c r="A545" s="46" t="s">
        <v>5128</v>
      </c>
    </row>
    <row r="546" spans="1:1" ht="16" x14ac:dyDescent="0.15">
      <c r="A546" s="46"/>
    </row>
    <row r="547" spans="1:1" ht="16" x14ac:dyDescent="0.15">
      <c r="A547" s="46" t="s">
        <v>5129</v>
      </c>
    </row>
    <row r="548" spans="1:1" ht="16" x14ac:dyDescent="0.15">
      <c r="A548" s="46"/>
    </row>
    <row r="549" spans="1:1" ht="16" x14ac:dyDescent="0.15">
      <c r="A549" s="46" t="s">
        <v>5130</v>
      </c>
    </row>
    <row r="550" spans="1:1" ht="16" x14ac:dyDescent="0.15">
      <c r="A550" s="46"/>
    </row>
    <row r="551" spans="1:1" ht="16" x14ac:dyDescent="0.15">
      <c r="A551" s="46" t="s">
        <v>5131</v>
      </c>
    </row>
    <row r="552" spans="1:1" ht="16" x14ac:dyDescent="0.15">
      <c r="A552" s="46"/>
    </row>
    <row r="553" spans="1:1" ht="16" x14ac:dyDescent="0.15">
      <c r="A553" s="46" t="s">
        <v>5132</v>
      </c>
    </row>
    <row r="554" spans="1:1" ht="16" x14ac:dyDescent="0.15">
      <c r="A554" s="46"/>
    </row>
    <row r="555" spans="1:1" ht="16" x14ac:dyDescent="0.15">
      <c r="A555" s="46" t="s">
        <v>5133</v>
      </c>
    </row>
    <row r="556" spans="1:1" ht="16" x14ac:dyDescent="0.15">
      <c r="A556" s="46"/>
    </row>
    <row r="557" spans="1:1" ht="16" x14ac:dyDescent="0.15">
      <c r="A557" s="46" t="s">
        <v>5134</v>
      </c>
    </row>
    <row r="558" spans="1:1" ht="16" x14ac:dyDescent="0.15">
      <c r="A558" s="46"/>
    </row>
    <row r="559" spans="1:1" ht="16" x14ac:dyDescent="0.15">
      <c r="A559" s="46" t="s">
        <v>5135</v>
      </c>
    </row>
    <row r="560" spans="1:1" ht="16" x14ac:dyDescent="0.15">
      <c r="A560" s="46"/>
    </row>
    <row r="561" spans="1:1" ht="16" x14ac:dyDescent="0.15">
      <c r="A561" s="46" t="s">
        <v>5136</v>
      </c>
    </row>
    <row r="562" spans="1:1" ht="16" x14ac:dyDescent="0.15">
      <c r="A562" s="46"/>
    </row>
    <row r="563" spans="1:1" ht="16" x14ac:dyDescent="0.15">
      <c r="A563" s="46" t="s">
        <v>5137</v>
      </c>
    </row>
    <row r="564" spans="1:1" ht="16" x14ac:dyDescent="0.15">
      <c r="A564" s="46"/>
    </row>
    <row r="565" spans="1:1" ht="16" x14ac:dyDescent="0.15">
      <c r="A565" s="46" t="s">
        <v>5138</v>
      </c>
    </row>
    <row r="566" spans="1:1" ht="16" x14ac:dyDescent="0.15">
      <c r="A566" s="46"/>
    </row>
    <row r="567" spans="1:1" ht="16" x14ac:dyDescent="0.15">
      <c r="A567" s="46" t="s">
        <v>5139</v>
      </c>
    </row>
    <row r="568" spans="1:1" ht="16" x14ac:dyDescent="0.15">
      <c r="A568" s="46"/>
    </row>
    <row r="569" spans="1:1" ht="16" x14ac:dyDescent="0.15">
      <c r="A569" s="46"/>
    </row>
  </sheetData>
  <pageMargins left="0.75" right="0.75" top="1" bottom="1" header="0.5" footer="0.5"/>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 SHEET &amp; ABSTRACT</vt:lpstr>
      <vt:lpstr>Combined Data</vt:lpstr>
      <vt:lpstr>Iverson_longevity</vt:lpstr>
      <vt:lpstr>Species_Habitat</vt:lpstr>
      <vt:lpstr>Species_Diet</vt:lpstr>
      <vt:lpstr>BM-CL regressions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 Ennen</dc:creator>
  <cp:lastModifiedBy>Jeffrey Seminoff</cp:lastModifiedBy>
  <dcterms:created xsi:type="dcterms:W3CDTF">2019-11-06T20:23:23Z</dcterms:created>
  <dcterms:modified xsi:type="dcterms:W3CDTF">2025-03-14T22:11:00Z</dcterms:modified>
</cp:coreProperties>
</file>